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nderson\Desktop\CIRTA\"/>
    </mc:Choice>
  </mc:AlternateContent>
  <xr:revisionPtr revIDLastSave="0" documentId="13_ncr:1_{C37A7743-10F5-4369-93D8-AFE87A6818BF}" xr6:coauthVersionLast="45" xr6:coauthVersionMax="45" xr10:uidLastSave="{00000000-0000-0000-0000-000000000000}"/>
  <bookViews>
    <workbookView xWindow="-98" yWindow="-98" windowWidth="22695" windowHeight="14595" firstSheet="2" activeTab="2" xr2:uid="{4D856C39-F44E-4B7C-9BDA-080C3A7313EA}"/>
  </bookViews>
  <sheets>
    <sheet name="2021 Salaries" sheetId="3" state="hidden" r:id="rId1"/>
    <sheet name="2021 Budget" sheetId="2" state="hidden" r:id="rId2"/>
    <sheet name="2021 Budget (3)" sheetId="9" r:id="rId3"/>
    <sheet name="2021 Budget (2)" sheetId="5" state="hidden" r:id="rId4"/>
    <sheet name="2020 Budget MH" sheetId="8" state="hidden" r:id="rId5"/>
    <sheet name="Calculation " sheetId="6" state="hidden" r:id="rId6"/>
    <sheet name="PMTF" sheetId="7" state="hidden" r:id="rId7"/>
    <sheet name="2020 Salaries " sheetId="1" state="hidden" r:id="rId8"/>
    <sheet name="2020 Budget" sheetId="4" state="hidden" r:id="rId9"/>
  </sheets>
  <externalReferences>
    <externalReference r:id="rId10"/>
  </externalReferences>
  <definedNames>
    <definedName name="_xlnm.Print_Area" localSheetId="4">'2020 Budget MH'!$A$16:$E$92</definedName>
    <definedName name="_xlnm.Print_Area" localSheetId="1">'2021 Budget'!$B$15:$F$94</definedName>
    <definedName name="_xlnm.Print_Area" localSheetId="3">'2021 Budget (2)'!$A$7:$AG$91</definedName>
    <definedName name="_xlnm.Print_Area" localSheetId="2">'2021 Budget (3)'!$A$13:$AA$91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9" l="1"/>
  <c r="F17" i="9"/>
  <c r="F56" i="9"/>
  <c r="F70" i="9"/>
  <c r="F41" i="9"/>
  <c r="J88" i="5" l="1"/>
  <c r="U47" i="9" l="1"/>
  <c r="V47" i="9" s="1"/>
  <c r="Y81" i="9"/>
  <c r="X81" i="9"/>
  <c r="U81" i="9"/>
  <c r="Q81" i="9"/>
  <c r="O81" i="9"/>
  <c r="M81" i="9"/>
  <c r="F81" i="9"/>
  <c r="E81" i="9"/>
  <c r="W80" i="9"/>
  <c r="W81" i="9" s="1"/>
  <c r="S80" i="9"/>
  <c r="S81" i="9" s="1"/>
  <c r="K80" i="9"/>
  <c r="G80" i="9"/>
  <c r="AA79" i="9"/>
  <c r="I79" i="9"/>
  <c r="I81" i="9" s="1"/>
  <c r="G79" i="9"/>
  <c r="G81" i="9" s="1"/>
  <c r="X76" i="9"/>
  <c r="U76" i="9"/>
  <c r="Q76" i="9"/>
  <c r="O76" i="9"/>
  <c r="M76" i="9"/>
  <c r="I76" i="9"/>
  <c r="F76" i="9"/>
  <c r="W75" i="9"/>
  <c r="K75" i="9"/>
  <c r="G75" i="9"/>
  <c r="W74" i="9"/>
  <c r="S74" i="9"/>
  <c r="AA74" i="9" s="1"/>
  <c r="G74" i="9"/>
  <c r="AA73" i="9"/>
  <c r="G73" i="9"/>
  <c r="W72" i="9"/>
  <c r="K72" i="9"/>
  <c r="K76" i="9" s="1"/>
  <c r="G72" i="9"/>
  <c r="W71" i="9"/>
  <c r="S71" i="9"/>
  <c r="AA71" i="9" s="1"/>
  <c r="G71" i="9"/>
  <c r="AA70" i="9"/>
  <c r="Y70" i="9"/>
  <c r="Y76" i="9" s="1"/>
  <c r="G70" i="9"/>
  <c r="AA69" i="9"/>
  <c r="G69" i="9"/>
  <c r="E69" i="9"/>
  <c r="E76" i="9" s="1"/>
  <c r="Y66" i="9"/>
  <c r="X66" i="9"/>
  <c r="W66" i="9"/>
  <c r="U66" i="9"/>
  <c r="S66" i="9"/>
  <c r="Q66" i="9"/>
  <c r="O66" i="9"/>
  <c r="M66" i="9"/>
  <c r="F66" i="9"/>
  <c r="E66" i="9"/>
  <c r="AA65" i="9"/>
  <c r="I65" i="9"/>
  <c r="G65" i="9"/>
  <c r="I64" i="9"/>
  <c r="G64" i="9"/>
  <c r="K63" i="9"/>
  <c r="AA63" i="9" s="1"/>
  <c r="I63" i="9"/>
  <c r="G63" i="9"/>
  <c r="AA62" i="9"/>
  <c r="G62" i="9"/>
  <c r="AA61" i="9"/>
  <c r="G61" i="9"/>
  <c r="U58" i="9"/>
  <c r="Q58" i="9"/>
  <c r="O58" i="9"/>
  <c r="M58" i="9"/>
  <c r="I58" i="9"/>
  <c r="E58" i="9"/>
  <c r="AA57" i="9"/>
  <c r="I57" i="9"/>
  <c r="G57" i="9"/>
  <c r="AA56" i="9"/>
  <c r="G56" i="9"/>
  <c r="S55" i="9"/>
  <c r="AA55" i="9" s="1"/>
  <c r="G55" i="9"/>
  <c r="K54" i="9"/>
  <c r="AA54" i="9" s="1"/>
  <c r="K53" i="9"/>
  <c r="G53" i="9"/>
  <c r="AA52" i="9"/>
  <c r="I52" i="9"/>
  <c r="G52" i="9"/>
  <c r="Y51" i="9"/>
  <c r="Y58" i="9" s="1"/>
  <c r="X51" i="9"/>
  <c r="X58" i="9" s="1"/>
  <c r="W51" i="9"/>
  <c r="S51" i="9"/>
  <c r="K51" i="9"/>
  <c r="G51" i="9"/>
  <c r="Y48" i="9"/>
  <c r="X48" i="9"/>
  <c r="U48" i="9"/>
  <c r="Q48" i="9"/>
  <c r="O48" i="9"/>
  <c r="M48" i="9"/>
  <c r="E48" i="9"/>
  <c r="K47" i="9"/>
  <c r="AA47" i="9" s="1"/>
  <c r="G47" i="9"/>
  <c r="AA46" i="9"/>
  <c r="K46" i="9"/>
  <c r="G46" i="9"/>
  <c r="X45" i="9"/>
  <c r="W45" i="9"/>
  <c r="K45" i="9"/>
  <c r="G45" i="9"/>
  <c r="K44" i="9"/>
  <c r="AA44" i="9" s="1"/>
  <c r="G44" i="9"/>
  <c r="W43" i="9"/>
  <c r="K43" i="9"/>
  <c r="G43" i="9"/>
  <c r="AA42" i="9"/>
  <c r="I42" i="9"/>
  <c r="G42" i="9"/>
  <c r="I41" i="9"/>
  <c r="K41" i="9" s="1"/>
  <c r="AA41" i="9" s="1"/>
  <c r="G41" i="9"/>
  <c r="I40" i="9"/>
  <c r="S40" i="9" s="1"/>
  <c r="G40" i="9"/>
  <c r="I39" i="9"/>
  <c r="K39" i="9" s="1"/>
  <c r="G39" i="9"/>
  <c r="I38" i="9"/>
  <c r="W38" i="9" s="1"/>
  <c r="G38" i="9"/>
  <c r="W37" i="9"/>
  <c r="S37" i="9"/>
  <c r="K37" i="9"/>
  <c r="K36" i="9"/>
  <c r="AA36" i="9" s="1"/>
  <c r="G36" i="9"/>
  <c r="Y33" i="9"/>
  <c r="X33" i="9"/>
  <c r="U33" i="9"/>
  <c r="Q33" i="9"/>
  <c r="O33" i="9"/>
  <c r="M33" i="9"/>
  <c r="K33" i="9"/>
  <c r="E33" i="9"/>
  <c r="W32" i="9"/>
  <c r="S32" i="9"/>
  <c r="I32" i="9"/>
  <c r="L32" i="9" s="1"/>
  <c r="G32" i="9"/>
  <c r="W31" i="9"/>
  <c r="S31" i="9"/>
  <c r="I31" i="9"/>
  <c r="L31" i="9" s="1"/>
  <c r="G31" i="9"/>
  <c r="W30" i="9"/>
  <c r="S30" i="9"/>
  <c r="I30" i="9"/>
  <c r="L30" i="9" s="1"/>
  <c r="G30" i="9"/>
  <c r="W29" i="9"/>
  <c r="S29" i="9"/>
  <c r="I29" i="9"/>
  <c r="L29" i="9" s="1"/>
  <c r="G29" i="9"/>
  <c r="W28" i="9"/>
  <c r="S28" i="9"/>
  <c r="I28" i="9"/>
  <c r="L28" i="9" s="1"/>
  <c r="G28" i="9"/>
  <c r="W27" i="9"/>
  <c r="S27" i="9"/>
  <c r="I27" i="9"/>
  <c r="L27" i="9" s="1"/>
  <c r="G27" i="9"/>
  <c r="X24" i="9"/>
  <c r="K24" i="9"/>
  <c r="G24" i="9"/>
  <c r="Q22" i="9"/>
  <c r="P22" i="9"/>
  <c r="N22" i="9"/>
  <c r="AA21" i="9"/>
  <c r="L21" i="9"/>
  <c r="Q20" i="9"/>
  <c r="O20" i="9"/>
  <c r="O24" i="9" s="1"/>
  <c r="M20" i="9"/>
  <c r="M24" i="9" s="1"/>
  <c r="AA19" i="9"/>
  <c r="L19" i="9" s="1"/>
  <c r="Y18" i="9"/>
  <c r="Y24" i="9" s="1"/>
  <c r="E18" i="9"/>
  <c r="E24" i="9" s="1"/>
  <c r="S6" i="9"/>
  <c r="K5" i="9"/>
  <c r="I1" i="9" s="1"/>
  <c r="AA3" i="9"/>
  <c r="AA4" i="9" s="1"/>
  <c r="Z28" i="9" l="1"/>
  <c r="Z30" i="9"/>
  <c r="Z32" i="9"/>
  <c r="G33" i="9"/>
  <c r="K38" i="9"/>
  <c r="F33" i="9"/>
  <c r="Z27" i="9"/>
  <c r="Z29" i="9"/>
  <c r="Z31" i="9"/>
  <c r="M83" i="9"/>
  <c r="M86" i="9" s="1"/>
  <c r="G66" i="9"/>
  <c r="I66" i="9"/>
  <c r="F24" i="9"/>
  <c r="W40" i="9"/>
  <c r="W48" i="9" s="1"/>
  <c r="W76" i="9"/>
  <c r="O83" i="9"/>
  <c r="O86" i="9" s="1"/>
  <c r="I48" i="9"/>
  <c r="T28" i="9"/>
  <c r="AA30" i="9"/>
  <c r="T32" i="9"/>
  <c r="Q83" i="9"/>
  <c r="AA45" i="9"/>
  <c r="U83" i="9"/>
  <c r="Q24" i="9"/>
  <c r="Q86" i="9" s="1"/>
  <c r="AA43" i="9"/>
  <c r="AA80" i="9"/>
  <c r="AA81" i="9" s="1"/>
  <c r="AA38" i="9"/>
  <c r="G76" i="9"/>
  <c r="S33" i="9"/>
  <c r="AA29" i="9"/>
  <c r="AA31" i="9"/>
  <c r="I33" i="9"/>
  <c r="G48" i="9"/>
  <c r="AA51" i="9"/>
  <c r="K58" i="9"/>
  <c r="AA75" i="9"/>
  <c r="AA39" i="9"/>
  <c r="S48" i="9"/>
  <c r="O1" i="9"/>
  <c r="E83" i="9"/>
  <c r="E86" i="9" s="1"/>
  <c r="X83" i="9"/>
  <c r="X86" i="9" s="1"/>
  <c r="Y83" i="9"/>
  <c r="Y86" i="9" s="1"/>
  <c r="G58" i="9"/>
  <c r="W58" i="9"/>
  <c r="T29" i="9"/>
  <c r="AA72" i="9"/>
  <c r="AA22" i="9"/>
  <c r="K40" i="9"/>
  <c r="F48" i="9"/>
  <c r="S58" i="9"/>
  <c r="I2" i="9"/>
  <c r="O2" i="9" s="1"/>
  <c r="AC19" i="9"/>
  <c r="W33" i="9"/>
  <c r="F58" i="9"/>
  <c r="K64" i="9"/>
  <c r="K81" i="9"/>
  <c r="AD81" i="9" s="1"/>
  <c r="T27" i="9"/>
  <c r="T31" i="9"/>
  <c r="AA20" i="9"/>
  <c r="AA37" i="9"/>
  <c r="AA53" i="9"/>
  <c r="AD33" i="9"/>
  <c r="T30" i="9"/>
  <c r="I4" i="9"/>
  <c r="O4" i="9" s="1"/>
  <c r="AA27" i="9"/>
  <c r="AA28" i="9"/>
  <c r="AA32" i="9"/>
  <c r="S76" i="9"/>
  <c r="AD76" i="9" s="1"/>
  <c r="I3" i="9"/>
  <c r="O3" i="9" s="1"/>
  <c r="R22" i="9"/>
  <c r="F14" i="5"/>
  <c r="G83" i="9" l="1"/>
  <c r="G86" i="9" s="1"/>
  <c r="AA40" i="9"/>
  <c r="AA48" i="9" s="1"/>
  <c r="I83" i="9"/>
  <c r="S83" i="9"/>
  <c r="AD58" i="9"/>
  <c r="F83" i="9"/>
  <c r="F86" i="9" s="1"/>
  <c r="AA58" i="9"/>
  <c r="AA76" i="9"/>
  <c r="W83" i="9"/>
  <c r="W18" i="9" s="1"/>
  <c r="AA64" i="9"/>
  <c r="AA66" i="9" s="1"/>
  <c r="K66" i="9"/>
  <c r="AD66" i="9" s="1"/>
  <c r="AC20" i="9"/>
  <c r="I20" i="9"/>
  <c r="AA33" i="9"/>
  <c r="U24" i="9"/>
  <c r="U86" i="9" s="1"/>
  <c r="K48" i="9"/>
  <c r="O5" i="9"/>
  <c r="I5" i="9"/>
  <c r="O30" i="6"/>
  <c r="AA17" i="9" l="1"/>
  <c r="AA83" i="9"/>
  <c r="W24" i="9"/>
  <c r="W86" i="9" s="1"/>
  <c r="AA18" i="9"/>
  <c r="I18" i="9" s="1"/>
  <c r="Z18" i="9" s="1"/>
  <c r="AD48" i="9"/>
  <c r="K83" i="9"/>
  <c r="P20" i="9"/>
  <c r="T20" i="9"/>
  <c r="V20" i="9"/>
  <c r="R20" i="9"/>
  <c r="N20" i="9"/>
  <c r="G57" i="5"/>
  <c r="H57" i="5" s="1"/>
  <c r="G51" i="5"/>
  <c r="E69" i="5"/>
  <c r="E58" i="5"/>
  <c r="J79" i="5"/>
  <c r="AB73" i="5"/>
  <c r="AB70" i="5"/>
  <c r="AB69" i="5"/>
  <c r="AB65" i="5"/>
  <c r="AB62" i="5"/>
  <c r="AB61" i="5"/>
  <c r="AB57" i="5"/>
  <c r="AB56" i="5"/>
  <c r="AB52" i="5"/>
  <c r="AB42" i="5"/>
  <c r="AB21" i="5"/>
  <c r="AB19" i="5"/>
  <c r="J19" i="5" s="1"/>
  <c r="AG13" i="5"/>
  <c r="J41" i="5"/>
  <c r="J52" i="5"/>
  <c r="G44" i="6"/>
  <c r="F44" i="6"/>
  <c r="F43" i="6"/>
  <c r="L80" i="5"/>
  <c r="S24" i="9" l="1"/>
  <c r="AD24" i="9" s="1"/>
  <c r="AD83" i="9"/>
  <c r="K86" i="9"/>
  <c r="AC17" i="9"/>
  <c r="AC24" i="9" s="1"/>
  <c r="AC26" i="9" s="1"/>
  <c r="AA24" i="9"/>
  <c r="AA86" i="9" s="1"/>
  <c r="I17" i="9"/>
  <c r="H49" i="6"/>
  <c r="J42" i="5"/>
  <c r="J65" i="5"/>
  <c r="E26" i="3"/>
  <c r="E39" i="3"/>
  <c r="S86" i="9" l="1"/>
  <c r="AD86" i="9" s="1"/>
  <c r="I24" i="9"/>
  <c r="I86" i="9" s="1"/>
  <c r="V17" i="9"/>
  <c r="T17" i="9"/>
  <c r="J57" i="5"/>
  <c r="J58" i="5" s="1"/>
  <c r="X32" i="5"/>
  <c r="X31" i="5"/>
  <c r="X29" i="5"/>
  <c r="X28" i="5"/>
  <c r="X27" i="5"/>
  <c r="Z18" i="5" l="1"/>
  <c r="Y45" i="5"/>
  <c r="T28" i="5"/>
  <c r="AB28" i="5" s="1"/>
  <c r="Z81" i="5" l="1"/>
  <c r="Y81" i="5"/>
  <c r="Z66" i="5"/>
  <c r="Z48" i="5"/>
  <c r="Z33" i="5"/>
  <c r="Z24" i="5"/>
  <c r="Z70" i="5"/>
  <c r="Z76" i="5" s="1"/>
  <c r="Z51" i="5"/>
  <c r="Z58" i="5" s="1"/>
  <c r="H80" i="5"/>
  <c r="H79" i="5"/>
  <c r="H75" i="5"/>
  <c r="H74" i="5"/>
  <c r="H73" i="5"/>
  <c r="H72" i="5"/>
  <c r="H71" i="5"/>
  <c r="H70" i="5"/>
  <c r="H65" i="5"/>
  <c r="H64" i="5"/>
  <c r="H63" i="5"/>
  <c r="H62" i="5"/>
  <c r="H61" i="5"/>
  <c r="H56" i="5"/>
  <c r="H55" i="5"/>
  <c r="H53" i="5"/>
  <c r="H47" i="5"/>
  <c r="H46" i="5"/>
  <c r="H45" i="5"/>
  <c r="H44" i="5"/>
  <c r="H43" i="5"/>
  <c r="H42" i="5"/>
  <c r="H40" i="5"/>
  <c r="H39" i="5"/>
  <c r="H38" i="5"/>
  <c r="H36" i="5"/>
  <c r="H24" i="5"/>
  <c r="H32" i="5"/>
  <c r="H31" i="5"/>
  <c r="H30" i="5"/>
  <c r="H29" i="5"/>
  <c r="H28" i="5"/>
  <c r="G18" i="5"/>
  <c r="G17" i="5"/>
  <c r="F83" i="6"/>
  <c r="F82" i="6"/>
  <c r="I78" i="6"/>
  <c r="I79" i="6"/>
  <c r="G20" i="5"/>
  <c r="F90" i="6"/>
  <c r="F81" i="6"/>
  <c r="E18" i="5"/>
  <c r="Y76" i="5"/>
  <c r="Y66" i="5"/>
  <c r="Y48" i="5"/>
  <c r="Y33" i="5"/>
  <c r="Y24" i="5"/>
  <c r="H81" i="5" l="1"/>
  <c r="Z83" i="5"/>
  <c r="Z86" i="5" s="1"/>
  <c r="H66" i="5"/>
  <c r="Y51" i="5"/>
  <c r="Y58" i="5" s="1"/>
  <c r="Y83" i="5" s="1"/>
  <c r="Y86" i="5" s="1"/>
  <c r="T80" i="5" l="1"/>
  <c r="AB79" i="5"/>
  <c r="X74" i="5"/>
  <c r="X71" i="5"/>
  <c r="X37" i="5"/>
  <c r="X80" i="5"/>
  <c r="X75" i="5"/>
  <c r="X72" i="5"/>
  <c r="X45" i="5"/>
  <c r="W47" i="5"/>
  <c r="AB80" i="5" l="1"/>
  <c r="T74" i="5"/>
  <c r="AB74" i="5" s="1"/>
  <c r="T71" i="5"/>
  <c r="AB71" i="5" s="1"/>
  <c r="T55" i="5"/>
  <c r="AB55" i="5" s="1"/>
  <c r="T51" i="5"/>
  <c r="T37" i="5"/>
  <c r="L75" i="5"/>
  <c r="AB75" i="5" s="1"/>
  <c r="L72" i="5"/>
  <c r="AB72" i="5" s="1"/>
  <c r="L54" i="5"/>
  <c r="AB54" i="5" s="1"/>
  <c r="L53" i="5"/>
  <c r="AB53" i="5" s="1"/>
  <c r="L51" i="5"/>
  <c r="L47" i="5"/>
  <c r="AB47" i="5" s="1"/>
  <c r="L46" i="5"/>
  <c r="AB46" i="5" s="1"/>
  <c r="L45" i="5"/>
  <c r="AB45" i="5" s="1"/>
  <c r="L44" i="5"/>
  <c r="AB44" i="5" s="1"/>
  <c r="L37" i="5"/>
  <c r="AB37" i="5" s="1"/>
  <c r="L36" i="5"/>
  <c r="AB36" i="5" s="1"/>
  <c r="M21" i="5"/>
  <c r="Q22" i="5"/>
  <c r="O22" i="5"/>
  <c r="X86" i="8" l="1"/>
  <c r="X85" i="8"/>
  <c r="AB81" i="8"/>
  <c r="AB80" i="8"/>
  <c r="AB78" i="8"/>
  <c r="AB77" i="8"/>
  <c r="AB75" i="8"/>
  <c r="AB73" i="8"/>
  <c r="X80" i="8"/>
  <c r="X78" i="8"/>
  <c r="X77" i="8"/>
  <c r="X75" i="8"/>
  <c r="X73" i="8"/>
  <c r="AB68" i="8"/>
  <c r="X68" i="8"/>
  <c r="AB60" i="8"/>
  <c r="AB59" i="8"/>
  <c r="AB58" i="8"/>
  <c r="AB55" i="8"/>
  <c r="AB54" i="8"/>
  <c r="AB53" i="8"/>
  <c r="X58" i="8"/>
  <c r="X55" i="8"/>
  <c r="X54" i="8"/>
  <c r="X53" i="8"/>
  <c r="Z49" i="8"/>
  <c r="X44" i="8"/>
  <c r="X42" i="8"/>
  <c r="T48" i="8"/>
  <c r="R48" i="8"/>
  <c r="AB34" i="8"/>
  <c r="AB33" i="8"/>
  <c r="AB32" i="8"/>
  <c r="AB31" i="8"/>
  <c r="AB30" i="8"/>
  <c r="AB28" i="8"/>
  <c r="X34" i="8"/>
  <c r="X33" i="8"/>
  <c r="X32" i="8"/>
  <c r="X31" i="8"/>
  <c r="X30" i="8"/>
  <c r="X28" i="8"/>
  <c r="V34" i="8"/>
  <c r="V33" i="8"/>
  <c r="V32" i="8"/>
  <c r="V31" i="8"/>
  <c r="V30" i="8"/>
  <c r="V28" i="8"/>
  <c r="AB17" i="8"/>
  <c r="Z21" i="8"/>
  <c r="Z17" i="8"/>
  <c r="X17" i="8"/>
  <c r="X21" i="8"/>
  <c r="V21" i="8"/>
  <c r="L18" i="8"/>
  <c r="T23" i="8"/>
  <c r="R23" i="8"/>
  <c r="P48" i="8"/>
  <c r="P23" i="8"/>
  <c r="N48" i="8"/>
  <c r="N23" i="8"/>
  <c r="L86" i="8"/>
  <c r="L85" i="8"/>
  <c r="L79" i="8"/>
  <c r="L76" i="8"/>
  <c r="L67" i="8"/>
  <c r="L66" i="8"/>
  <c r="L60" i="8"/>
  <c r="L59" i="8"/>
  <c r="L58" i="8"/>
  <c r="L57" i="8"/>
  <c r="L56" i="8"/>
  <c r="L55" i="8"/>
  <c r="L54" i="8"/>
  <c r="L53" i="8"/>
  <c r="L44" i="8"/>
  <c r="L43" i="8"/>
  <c r="L42" i="8"/>
  <c r="L41" i="8"/>
  <c r="L40" i="8"/>
  <c r="L39" i="8"/>
  <c r="L38" i="8"/>
  <c r="L22" i="8"/>
  <c r="L34" i="8"/>
  <c r="L33" i="8"/>
  <c r="L32" i="8"/>
  <c r="L31" i="8"/>
  <c r="L30" i="8"/>
  <c r="L28" i="8"/>
  <c r="AC87" i="8" l="1"/>
  <c r="AA87" i="8"/>
  <c r="Y87" i="8"/>
  <c r="W87" i="8"/>
  <c r="U87" i="8"/>
  <c r="S87" i="8"/>
  <c r="Q87" i="8"/>
  <c r="O87" i="8"/>
  <c r="M87" i="8"/>
  <c r="K87" i="8"/>
  <c r="I87" i="8"/>
  <c r="G87" i="8"/>
  <c r="E87" i="8"/>
  <c r="AE86" i="8"/>
  <c r="AA86" i="8"/>
  <c r="W86" i="8"/>
  <c r="AE85" i="8"/>
  <c r="AC82" i="8"/>
  <c r="AA82" i="8"/>
  <c r="Y82" i="8"/>
  <c r="W82" i="8"/>
  <c r="U82" i="8"/>
  <c r="S82" i="8"/>
  <c r="Q82" i="8"/>
  <c r="O82" i="8"/>
  <c r="M82" i="8"/>
  <c r="K82" i="8"/>
  <c r="I82" i="8"/>
  <c r="G82" i="8"/>
  <c r="E82" i="8"/>
  <c r="AE81" i="8"/>
  <c r="AE80" i="8"/>
  <c r="AE79" i="8"/>
  <c r="AE78" i="8"/>
  <c r="AE77" i="8"/>
  <c r="AE76" i="8"/>
  <c r="AE75" i="8"/>
  <c r="AE74" i="8"/>
  <c r="AE73" i="8"/>
  <c r="AC70" i="8"/>
  <c r="AA70" i="8"/>
  <c r="Y70" i="8"/>
  <c r="W70" i="8"/>
  <c r="U70" i="8"/>
  <c r="S70" i="8"/>
  <c r="Q70" i="8"/>
  <c r="O70" i="8"/>
  <c r="M70" i="8"/>
  <c r="K70" i="8"/>
  <c r="I70" i="8"/>
  <c r="E70" i="8"/>
  <c r="AE69" i="8"/>
  <c r="G69" i="8"/>
  <c r="G70" i="8" s="1"/>
  <c r="AE68" i="8"/>
  <c r="AE67" i="8"/>
  <c r="E67" i="8"/>
  <c r="AE66" i="8"/>
  <c r="AE65" i="8"/>
  <c r="AE64" i="8"/>
  <c r="AC61" i="8"/>
  <c r="Y61" i="8"/>
  <c r="U61" i="8"/>
  <c r="S61" i="8"/>
  <c r="Q61" i="8"/>
  <c r="O61" i="8"/>
  <c r="M61" i="8"/>
  <c r="K61" i="8"/>
  <c r="I61" i="8"/>
  <c r="AE60" i="8"/>
  <c r="AE59" i="8"/>
  <c r="AA58" i="8"/>
  <c r="AE58" i="8" s="1"/>
  <c r="AE57" i="8"/>
  <c r="G57" i="8"/>
  <c r="G61" i="8" s="1"/>
  <c r="AE56" i="8"/>
  <c r="AE55" i="8"/>
  <c r="G55" i="8"/>
  <c r="E55" i="8"/>
  <c r="E61" i="8" s="1"/>
  <c r="AE54" i="8"/>
  <c r="AA53" i="8"/>
  <c r="AA61" i="8" s="1"/>
  <c r="W53" i="8"/>
  <c r="AE53" i="8" s="1"/>
  <c r="AC50" i="8"/>
  <c r="AA50" i="8"/>
  <c r="Y50" i="8"/>
  <c r="U50" i="8"/>
  <c r="S50" i="8"/>
  <c r="Q50" i="8"/>
  <c r="O50" i="8"/>
  <c r="M50" i="8"/>
  <c r="AE49" i="8"/>
  <c r="AE48" i="8"/>
  <c r="AE47" i="8"/>
  <c r="AE46" i="8"/>
  <c r="AE45" i="8"/>
  <c r="AE44" i="8"/>
  <c r="AE43" i="8"/>
  <c r="G43" i="8"/>
  <c r="G50" i="8" s="1"/>
  <c r="W42" i="8"/>
  <c r="AE42" i="8" s="1"/>
  <c r="K42" i="8"/>
  <c r="E41" i="8"/>
  <c r="K41" i="8" s="1"/>
  <c r="AE40" i="8"/>
  <c r="AE39" i="8"/>
  <c r="AE38" i="8"/>
  <c r="AA35" i="8"/>
  <c r="Y35" i="8"/>
  <c r="W35" i="8"/>
  <c r="U35" i="8"/>
  <c r="S35" i="8"/>
  <c r="Q35" i="8"/>
  <c r="O35" i="8"/>
  <c r="M35" i="8"/>
  <c r="K35" i="8"/>
  <c r="I35" i="8"/>
  <c r="G35" i="8"/>
  <c r="E35" i="8"/>
  <c r="AE34" i="8"/>
  <c r="AE33" i="8"/>
  <c r="AE32" i="8"/>
  <c r="AE31" i="8"/>
  <c r="AE30" i="8"/>
  <c r="AE29" i="8"/>
  <c r="AE28" i="8"/>
  <c r="AC25" i="8"/>
  <c r="AA25" i="8"/>
  <c r="Y25" i="8"/>
  <c r="W25" i="8"/>
  <c r="U25" i="8"/>
  <c r="S25" i="8"/>
  <c r="Q25" i="8"/>
  <c r="O25" i="8"/>
  <c r="M25" i="8"/>
  <c r="K25" i="8"/>
  <c r="I25" i="8"/>
  <c r="G25" i="8"/>
  <c r="E25" i="8"/>
  <c r="AI24" i="8"/>
  <c r="AE24" i="8"/>
  <c r="AE21" i="8"/>
  <c r="AG21" i="8" s="1"/>
  <c r="AE20" i="8"/>
  <c r="AG20" i="8" s="1"/>
  <c r="AE19" i="8"/>
  <c r="AG19" i="8" s="1"/>
  <c r="AE18" i="8"/>
  <c r="AG18" i="8" s="1"/>
  <c r="AE17" i="8"/>
  <c r="AG17" i="8" s="1"/>
  <c r="W6" i="8"/>
  <c r="K5" i="8"/>
  <c r="I3" i="8" s="1"/>
  <c r="O3" i="8" s="1"/>
  <c r="I4" i="8"/>
  <c r="O4" i="8" s="1"/>
  <c r="I2" i="8"/>
  <c r="O2" i="8" s="1"/>
  <c r="AE3" i="8" l="1"/>
  <c r="AE4" i="8" s="1"/>
  <c r="AE87" i="8"/>
  <c r="AE82" i="8"/>
  <c r="AE70" i="8"/>
  <c r="AE25" i="8"/>
  <c r="AI19" i="8" s="1"/>
  <c r="AI20" i="8" s="1"/>
  <c r="AE35" i="8"/>
  <c r="O89" i="8"/>
  <c r="O92" i="8" s="1"/>
  <c r="Y89" i="8"/>
  <c r="Y92" i="8" s="1"/>
  <c r="M89" i="8"/>
  <c r="M92" i="8" s="1"/>
  <c r="Q89" i="8"/>
  <c r="Q92" i="8" s="1"/>
  <c r="S89" i="8"/>
  <c r="S92" i="8" s="1"/>
  <c r="U89" i="8"/>
  <c r="U92" i="8" s="1"/>
  <c r="AC89" i="8"/>
  <c r="AC92" i="8" s="1"/>
  <c r="AE41" i="8"/>
  <c r="K50" i="8"/>
  <c r="AA89" i="8"/>
  <c r="AA92" i="8" s="1"/>
  <c r="E89" i="8"/>
  <c r="E92" i="8" s="1"/>
  <c r="G89" i="8"/>
  <c r="G92" i="8"/>
  <c r="AG25" i="8"/>
  <c r="AG27" i="8" s="1"/>
  <c r="W89" i="8"/>
  <c r="W92" i="8" s="1"/>
  <c r="I89" i="8"/>
  <c r="I92" i="8" s="1"/>
  <c r="AE61" i="8"/>
  <c r="I1" i="8"/>
  <c r="W61" i="8"/>
  <c r="E50" i="8"/>
  <c r="W50" i="8"/>
  <c r="I50" i="8"/>
  <c r="J17" i="3"/>
  <c r="J16" i="3"/>
  <c r="J15" i="3"/>
  <c r="J14" i="3"/>
  <c r="J13" i="3"/>
  <c r="J12" i="3"/>
  <c r="J11" i="3"/>
  <c r="T17" i="4"/>
  <c r="U17" i="4" s="1"/>
  <c r="AE50" i="8" l="1"/>
  <c r="K89" i="8"/>
  <c r="I5" i="8"/>
  <c r="O1" i="8"/>
  <c r="O5" i="8" s="1"/>
  <c r="I71" i="6"/>
  <c r="I69" i="6"/>
  <c r="I68" i="6"/>
  <c r="I67" i="6"/>
  <c r="F65" i="6"/>
  <c r="F64" i="6"/>
  <c r="AE89" i="8" l="1"/>
  <c r="K92" i="8"/>
  <c r="AE92" i="8" s="1"/>
  <c r="K67" i="6"/>
  <c r="K57" i="6"/>
  <c r="K56" i="6"/>
  <c r="K65" i="6"/>
  <c r="K44" i="6" l="1"/>
  <c r="K40" i="6"/>
  <c r="J63" i="5"/>
  <c r="L63" i="5" s="1"/>
  <c r="AB63" i="5" s="1"/>
  <c r="J64" i="5"/>
  <c r="L64" i="5" s="1"/>
  <c r="AB64" i="5" s="1"/>
  <c r="H40" i="6"/>
  <c r="H38" i="6"/>
  <c r="F41" i="6"/>
  <c r="F39" i="6"/>
  <c r="O25" i="6"/>
  <c r="O23" i="6"/>
  <c r="O14" i="6"/>
  <c r="O13" i="6"/>
  <c r="O12" i="6"/>
  <c r="L41" i="5"/>
  <c r="AB41" i="5" s="1"/>
  <c r="J38" i="5"/>
  <c r="J39" i="5"/>
  <c r="L39" i="5" s="1"/>
  <c r="AB39" i="5" s="1"/>
  <c r="M16" i="6"/>
  <c r="M13" i="6"/>
  <c r="L38" i="5" l="1"/>
  <c r="X38" i="5"/>
  <c r="X43" i="5"/>
  <c r="L43" i="5"/>
  <c r="AB43" i="5" s="1"/>
  <c r="O20" i="3"/>
  <c r="T32" i="5"/>
  <c r="AB32" i="5" s="1"/>
  <c r="T31" i="5"/>
  <c r="AB31" i="5" s="1"/>
  <c r="X30" i="5"/>
  <c r="T30" i="5"/>
  <c r="T27" i="5"/>
  <c r="AB27" i="5" s="1"/>
  <c r="J40" i="5"/>
  <c r="X40" i="5" s="1"/>
  <c r="AB30" i="5" l="1"/>
  <c r="AB38" i="5"/>
  <c r="L40" i="5"/>
  <c r="T40" i="5"/>
  <c r="R22" i="5"/>
  <c r="AB22" i="5" s="1"/>
  <c r="R20" i="5"/>
  <c r="P20" i="5"/>
  <c r="N20" i="5"/>
  <c r="K29" i="6"/>
  <c r="K24" i="6"/>
  <c r="N43" i="7"/>
  <c r="M42" i="7"/>
  <c r="L38" i="7"/>
  <c r="L37" i="7"/>
  <c r="O36" i="7"/>
  <c r="M36" i="7"/>
  <c r="L36" i="7"/>
  <c r="L42" i="7" s="1"/>
  <c r="K36" i="7"/>
  <c r="K42" i="7" s="1"/>
  <c r="N42" i="7" s="1"/>
  <c r="N35" i="7"/>
  <c r="N34" i="7"/>
  <c r="N36" i="7" s="1"/>
  <c r="K33" i="7"/>
  <c r="F28" i="7"/>
  <c r="E24" i="7"/>
  <c r="E25" i="7" s="1"/>
  <c r="M23" i="7"/>
  <c r="M27" i="7" s="1"/>
  <c r="E23" i="7"/>
  <c r="N22" i="7"/>
  <c r="N23" i="7" s="1"/>
  <c r="L22" i="7"/>
  <c r="L23" i="7" s="1"/>
  <c r="K22" i="7"/>
  <c r="K23" i="7" s="1"/>
  <c r="G22" i="7"/>
  <c r="F22" i="7"/>
  <c r="N21" i="7"/>
  <c r="F21" i="7"/>
  <c r="F23" i="7" s="1"/>
  <c r="F24" i="7" s="1"/>
  <c r="F25" i="7" s="1"/>
  <c r="D21" i="7"/>
  <c r="D23" i="7" s="1"/>
  <c r="M20" i="7"/>
  <c r="L20" i="7"/>
  <c r="K20" i="7"/>
  <c r="F20" i="7"/>
  <c r="E20" i="7"/>
  <c r="D20" i="7"/>
  <c r="N19" i="7"/>
  <c r="G19" i="7"/>
  <c r="Q17" i="7"/>
  <c r="Q25" i="7" s="1"/>
  <c r="K13" i="7"/>
  <c r="S10" i="7"/>
  <c r="T9" i="7"/>
  <c r="S9" i="7"/>
  <c r="L9" i="7"/>
  <c r="L10" i="7" s="1"/>
  <c r="K9" i="7"/>
  <c r="K10" i="7" s="1"/>
  <c r="O8" i="7"/>
  <c r="N8" i="7"/>
  <c r="M8" i="7"/>
  <c r="M13" i="7" s="1"/>
  <c r="L8" i="7"/>
  <c r="L13" i="7" s="1"/>
  <c r="K8" i="7"/>
  <c r="F8" i="7"/>
  <c r="F9" i="7" s="1"/>
  <c r="E8" i="7"/>
  <c r="E9" i="7" s="1"/>
  <c r="D8" i="7"/>
  <c r="D9" i="7" s="1"/>
  <c r="T7" i="7"/>
  <c r="N7" i="7"/>
  <c r="T8" i="7" s="1"/>
  <c r="G7" i="7"/>
  <c r="G8" i="7" s="1"/>
  <c r="T6" i="7"/>
  <c r="S6" i="7"/>
  <c r="N6" i="7"/>
  <c r="S8" i="7" s="1"/>
  <c r="G6" i="7"/>
  <c r="M5" i="7"/>
  <c r="L5" i="7"/>
  <c r="K5" i="7"/>
  <c r="N4" i="7"/>
  <c r="AB40" i="5" l="1"/>
  <c r="AB20" i="5"/>
  <c r="J20" i="5" s="1"/>
  <c r="Q20" i="5" s="1"/>
  <c r="S20" i="5"/>
  <c r="AB48" i="5"/>
  <c r="O20" i="5"/>
  <c r="S22" i="5"/>
  <c r="K15" i="7"/>
  <c r="H23" i="7"/>
  <c r="D24" i="7"/>
  <c r="L27" i="7"/>
  <c r="L26" i="7"/>
  <c r="F29" i="7"/>
  <c r="E14" i="7"/>
  <c r="E10" i="7"/>
  <c r="E29" i="7"/>
  <c r="E30" i="7" s="1"/>
  <c r="D14" i="7"/>
  <c r="G9" i="7"/>
  <c r="G10" i="7" s="1"/>
  <c r="D10" i="7"/>
  <c r="H9" i="7"/>
  <c r="F14" i="7"/>
  <c r="F10" i="7"/>
  <c r="F13" i="7" s="1"/>
  <c r="F15" i="7" s="1"/>
  <c r="L41" i="7"/>
  <c r="L44" i="7" s="1"/>
  <c r="T11" i="7"/>
  <c r="Q7" i="7" s="1"/>
  <c r="K27" i="7"/>
  <c r="N27" i="7" s="1"/>
  <c r="S16" i="7" s="1"/>
  <c r="O23" i="7"/>
  <c r="K26" i="7"/>
  <c r="K37" i="7"/>
  <c r="K14" i="7"/>
  <c r="H8" i="7"/>
  <c r="M9" i="7"/>
  <c r="L14" i="7"/>
  <c r="L15" i="7" s="1"/>
  <c r="T17" i="7"/>
  <c r="G21" i="7"/>
  <c r="M26" i="7"/>
  <c r="G28" i="7"/>
  <c r="M37" i="7"/>
  <c r="M38" i="7" s="1"/>
  <c r="M41" i="7" s="1"/>
  <c r="M44" i="7" s="1"/>
  <c r="N13" i="7"/>
  <c r="K38" i="7"/>
  <c r="U20" i="5" l="1"/>
  <c r="W20" i="5"/>
  <c r="F31" i="7"/>
  <c r="K29" i="7"/>
  <c r="N26" i="7"/>
  <c r="F30" i="7"/>
  <c r="G14" i="7"/>
  <c r="L29" i="7"/>
  <c r="S15" i="7"/>
  <c r="N15" i="7"/>
  <c r="M14" i="7"/>
  <c r="M15" i="7" s="1"/>
  <c r="O15" i="7" s="1"/>
  <c r="M10" i="7"/>
  <c r="L28" i="7"/>
  <c r="G23" i="7"/>
  <c r="G25" i="7" s="1"/>
  <c r="S7" i="7"/>
  <c r="S11" i="7" s="1"/>
  <c r="Q6" i="7" s="1"/>
  <c r="K41" i="7"/>
  <c r="O38" i="7"/>
  <c r="T14" i="7"/>
  <c r="N14" i="7"/>
  <c r="D25" i="7"/>
  <c r="G24" i="7"/>
  <c r="T15" i="7" s="1"/>
  <c r="D13" i="7"/>
  <c r="H10" i="7"/>
  <c r="M28" i="7"/>
  <c r="M29" i="7" s="1"/>
  <c r="K28" i="7"/>
  <c r="E31" i="7"/>
  <c r="N9" i="7"/>
  <c r="T16" i="7" s="1"/>
  <c r="Q16" i="7"/>
  <c r="Q24" i="7" s="1"/>
  <c r="N37" i="7"/>
  <c r="E13" i="7"/>
  <c r="E15" i="7" s="1"/>
  <c r="T18" i="7" l="1"/>
  <c r="N38" i="7"/>
  <c r="N41" i="7"/>
  <c r="K44" i="7"/>
  <c r="O44" i="7" s="1"/>
  <c r="D15" i="7"/>
  <c r="H15" i="7" s="1"/>
  <c r="G13" i="7"/>
  <c r="N29" i="7"/>
  <c r="Q8" i="7"/>
  <c r="O29" i="7"/>
  <c r="D29" i="7"/>
  <c r="H25" i="7"/>
  <c r="D30" i="7"/>
  <c r="G30" i="7" s="1"/>
  <c r="Q18" i="7" s="1"/>
  <c r="T20" i="7"/>
  <c r="N10" i="7"/>
  <c r="O10" i="7"/>
  <c r="N28" i="7"/>
  <c r="Q9" i="7"/>
  <c r="S2" i="7" s="1"/>
  <c r="S14" i="7" l="1"/>
  <c r="Q14" i="7"/>
  <c r="G15" i="7"/>
  <c r="D31" i="7"/>
  <c r="H31" i="7" s="1"/>
  <c r="G29" i="7"/>
  <c r="N44" i="7"/>
  <c r="S17" i="7"/>
  <c r="Q10" i="7"/>
  <c r="Q15" i="7" l="1"/>
  <c r="G31" i="7"/>
  <c r="Q20" i="7"/>
  <c r="Q21" i="7" s="1"/>
  <c r="Q23" i="7"/>
  <c r="Q26" i="7" s="1"/>
  <c r="S20" i="7"/>
  <c r="I17" i="6" l="1"/>
  <c r="H17" i="6"/>
  <c r="E17" i="6"/>
  <c r="K21" i="6"/>
  <c r="H32" i="6"/>
  <c r="H30" i="6"/>
  <c r="H28" i="6"/>
  <c r="E30" i="6"/>
  <c r="E29" i="6"/>
  <c r="E27" i="6"/>
  <c r="J16" i="6"/>
  <c r="I16" i="6"/>
  <c r="H16" i="6"/>
  <c r="I15" i="6"/>
  <c r="H14" i="6"/>
  <c r="E16" i="6"/>
  <c r="E14" i="6"/>
  <c r="X81" i="5" l="1"/>
  <c r="V81" i="5"/>
  <c r="T81" i="5"/>
  <c r="R81" i="5"/>
  <c r="P81" i="5"/>
  <c r="N81" i="5"/>
  <c r="L81" i="5"/>
  <c r="AE81" i="5" s="1"/>
  <c r="J81" i="5"/>
  <c r="G81" i="5"/>
  <c r="E81" i="5"/>
  <c r="X76" i="5"/>
  <c r="V76" i="5"/>
  <c r="T76" i="5"/>
  <c r="R76" i="5"/>
  <c r="P76" i="5"/>
  <c r="N76" i="5"/>
  <c r="L76" i="5"/>
  <c r="J76" i="5"/>
  <c r="E76" i="5"/>
  <c r="G69" i="5"/>
  <c r="H69" i="5" s="1"/>
  <c r="H76" i="5" s="1"/>
  <c r="X66" i="5"/>
  <c r="V66" i="5"/>
  <c r="T66" i="5"/>
  <c r="R66" i="5"/>
  <c r="P66" i="5"/>
  <c r="N66" i="5"/>
  <c r="L66" i="5"/>
  <c r="J66" i="5"/>
  <c r="G66" i="5"/>
  <c r="E66" i="5"/>
  <c r="V58" i="5"/>
  <c r="R58" i="5"/>
  <c r="P58" i="5"/>
  <c r="N58" i="5"/>
  <c r="L58" i="5"/>
  <c r="G52" i="5"/>
  <c r="X51" i="5"/>
  <c r="X48" i="5"/>
  <c r="V48" i="5"/>
  <c r="T48" i="5"/>
  <c r="P48" i="5"/>
  <c r="J48" i="5"/>
  <c r="E48" i="5"/>
  <c r="G41" i="5"/>
  <c r="H41" i="5" s="1"/>
  <c r="H48" i="5" s="1"/>
  <c r="V33" i="5"/>
  <c r="R33" i="5"/>
  <c r="P33" i="5"/>
  <c r="N33" i="5"/>
  <c r="E33" i="5"/>
  <c r="G27" i="5"/>
  <c r="R24" i="5"/>
  <c r="P24" i="5"/>
  <c r="N24" i="5"/>
  <c r="L24" i="5"/>
  <c r="E24" i="5"/>
  <c r="G24" i="5"/>
  <c r="AB3" i="5"/>
  <c r="AB4" i="5" s="1"/>
  <c r="AD20" i="5"/>
  <c r="AD19" i="5"/>
  <c r="T6" i="5"/>
  <c r="L5" i="5"/>
  <c r="J1" i="5" s="1"/>
  <c r="X58" i="5" l="1"/>
  <c r="AB51" i="5"/>
  <c r="AB58" i="5" s="1"/>
  <c r="AE66" i="5"/>
  <c r="AE76" i="5"/>
  <c r="H51" i="5"/>
  <c r="G58" i="5"/>
  <c r="AE58" i="5"/>
  <c r="H52" i="5"/>
  <c r="G48" i="5"/>
  <c r="G76" i="5"/>
  <c r="G33" i="5"/>
  <c r="H27" i="5"/>
  <c r="H33" i="5" s="1"/>
  <c r="E83" i="5"/>
  <c r="E86" i="5" s="1"/>
  <c r="AB81" i="5"/>
  <c r="P83" i="5"/>
  <c r="P86" i="5" s="1"/>
  <c r="V83" i="5"/>
  <c r="V90" i="5" s="1"/>
  <c r="J2" i="5"/>
  <c r="P2" i="5" s="1"/>
  <c r="AB76" i="5"/>
  <c r="AB66" i="5"/>
  <c r="T58" i="5"/>
  <c r="P1" i="5"/>
  <c r="J3" i="5"/>
  <c r="P3" i="5" s="1"/>
  <c r="J4" i="5"/>
  <c r="P4" i="5" s="1"/>
  <c r="L48" i="5"/>
  <c r="G12" i="2"/>
  <c r="F12" i="2"/>
  <c r="F11" i="2"/>
  <c r="H58" i="5" l="1"/>
  <c r="H83" i="5" s="1"/>
  <c r="H86" i="5" s="1"/>
  <c r="G83" i="5"/>
  <c r="G86" i="5" s="1"/>
  <c r="V17" i="5"/>
  <c r="V24" i="5" s="1"/>
  <c r="V86" i="5" s="1"/>
  <c r="V91" i="5"/>
  <c r="J5" i="5"/>
  <c r="P5" i="5"/>
  <c r="G8" i="2"/>
  <c r="Q13" i="2" l="1"/>
  <c r="M13" i="2"/>
  <c r="H100" i="2" l="1"/>
  <c r="H99" i="2"/>
  <c r="H98" i="2"/>
  <c r="F113" i="2"/>
  <c r="F108" i="2"/>
  <c r="F54" i="2"/>
  <c r="F28" i="2"/>
  <c r="F43" i="2"/>
  <c r="F99" i="2"/>
  <c r="F24" i="2"/>
  <c r="F74" i="2"/>
  <c r="F56" i="2"/>
  <c r="J41" i="2"/>
  <c r="J42" i="2"/>
  <c r="E87" i="4" l="1"/>
  <c r="E82" i="4"/>
  <c r="E70" i="4"/>
  <c r="E61" i="4"/>
  <c r="E50" i="4"/>
  <c r="E35" i="4"/>
  <c r="E25" i="4"/>
  <c r="S87" i="4"/>
  <c r="Q87" i="4"/>
  <c r="O87" i="4"/>
  <c r="N87" i="4"/>
  <c r="M87" i="4"/>
  <c r="L87" i="4"/>
  <c r="K87" i="4"/>
  <c r="J87" i="4"/>
  <c r="H87" i="4"/>
  <c r="F87" i="4"/>
  <c r="R86" i="4"/>
  <c r="R87" i="4" s="1"/>
  <c r="P86" i="4"/>
  <c r="P87" i="4" s="1"/>
  <c r="T85" i="4"/>
  <c r="S82" i="4"/>
  <c r="R82" i="4"/>
  <c r="Q82" i="4"/>
  <c r="P82" i="4"/>
  <c r="O82" i="4"/>
  <c r="N82" i="4"/>
  <c r="M82" i="4"/>
  <c r="L82" i="4"/>
  <c r="K82" i="4"/>
  <c r="J82" i="4"/>
  <c r="H82" i="4"/>
  <c r="F82" i="4"/>
  <c r="T81" i="4"/>
  <c r="T80" i="4"/>
  <c r="T79" i="4"/>
  <c r="T78" i="4"/>
  <c r="T77" i="4"/>
  <c r="T76" i="4"/>
  <c r="T75" i="4"/>
  <c r="T74" i="4"/>
  <c r="T73" i="4"/>
  <c r="S70" i="4"/>
  <c r="R70" i="4"/>
  <c r="Q70" i="4"/>
  <c r="P70" i="4"/>
  <c r="O70" i="4"/>
  <c r="N70" i="4"/>
  <c r="M70" i="4"/>
  <c r="L70" i="4"/>
  <c r="K70" i="4"/>
  <c r="J70" i="4"/>
  <c r="F70" i="4"/>
  <c r="T69" i="4"/>
  <c r="F69" i="4"/>
  <c r="T68" i="4"/>
  <c r="T67" i="4"/>
  <c r="E67" i="4"/>
  <c r="H70" i="4" s="1"/>
  <c r="T66" i="4"/>
  <c r="T65" i="4"/>
  <c r="T64" i="4"/>
  <c r="S61" i="4"/>
  <c r="Q61" i="4"/>
  <c r="O61" i="4"/>
  <c r="N61" i="4"/>
  <c r="M61" i="4"/>
  <c r="L61" i="4"/>
  <c r="K61" i="4"/>
  <c r="J61" i="4"/>
  <c r="T60" i="4"/>
  <c r="T59" i="4"/>
  <c r="R58" i="4"/>
  <c r="T58" i="4" s="1"/>
  <c r="T57" i="4"/>
  <c r="F57" i="4"/>
  <c r="T56" i="4"/>
  <c r="T55" i="4"/>
  <c r="E55" i="4"/>
  <c r="H61" i="4" s="1"/>
  <c r="F55" i="4"/>
  <c r="F61" i="4" s="1"/>
  <c r="T54" i="4"/>
  <c r="R53" i="4"/>
  <c r="P53" i="4"/>
  <c r="P61" i="4" s="1"/>
  <c r="S50" i="4"/>
  <c r="R50" i="4"/>
  <c r="Q50" i="4"/>
  <c r="O50" i="4"/>
  <c r="N50" i="4"/>
  <c r="M50" i="4"/>
  <c r="L50" i="4"/>
  <c r="K50" i="4"/>
  <c r="T49" i="4"/>
  <c r="T48" i="4"/>
  <c r="T47" i="4"/>
  <c r="T46" i="4"/>
  <c r="T45" i="4"/>
  <c r="T44" i="4"/>
  <c r="T43" i="4"/>
  <c r="F43" i="4"/>
  <c r="F50" i="4" s="1"/>
  <c r="P42" i="4"/>
  <c r="P50" i="4" s="1"/>
  <c r="J42" i="4"/>
  <c r="T42" i="4" s="1"/>
  <c r="E41" i="4"/>
  <c r="H50" i="4" s="1"/>
  <c r="T40" i="4"/>
  <c r="T39" i="4"/>
  <c r="T38" i="4"/>
  <c r="R35" i="4"/>
  <c r="Q35" i="4"/>
  <c r="P35" i="4"/>
  <c r="O35" i="4"/>
  <c r="N35" i="4"/>
  <c r="N89" i="4" s="1"/>
  <c r="M35" i="4"/>
  <c r="M89" i="4" s="1"/>
  <c r="M92" i="4" s="1"/>
  <c r="L35" i="4"/>
  <c r="L89" i="4" s="1"/>
  <c r="K35" i="4"/>
  <c r="J35" i="4"/>
  <c r="H35" i="4"/>
  <c r="F35" i="4"/>
  <c r="T34" i="4"/>
  <c r="T33" i="4"/>
  <c r="T32" i="4"/>
  <c r="T31" i="4"/>
  <c r="T30" i="4"/>
  <c r="T29" i="4"/>
  <c r="T28" i="4"/>
  <c r="S25" i="4"/>
  <c r="R25" i="4"/>
  <c r="Q25" i="4"/>
  <c r="P25" i="4"/>
  <c r="O25" i="4"/>
  <c r="N25" i="4"/>
  <c r="M25" i="4"/>
  <c r="L25" i="4"/>
  <c r="K25" i="4"/>
  <c r="J25" i="4"/>
  <c r="H25" i="4"/>
  <c r="F25" i="4"/>
  <c r="T24" i="4"/>
  <c r="T23" i="4"/>
  <c r="T22" i="4"/>
  <c r="T21" i="4"/>
  <c r="T3" i="4" s="1"/>
  <c r="T4" i="4" s="1"/>
  <c r="T20" i="4"/>
  <c r="V20" i="4" s="1"/>
  <c r="T19" i="4"/>
  <c r="V19" i="4" s="1"/>
  <c r="V18" i="4"/>
  <c r="P6" i="4"/>
  <c r="J5" i="4"/>
  <c r="H4" i="4" s="1"/>
  <c r="L4" i="4" s="1"/>
  <c r="H3" i="4"/>
  <c r="L3" i="4" s="1"/>
  <c r="H2" i="4"/>
  <c r="L2" i="4" s="1"/>
  <c r="H1" i="4"/>
  <c r="H5" i="4" s="1"/>
  <c r="N37" i="3"/>
  <c r="N24" i="3"/>
  <c r="L24" i="3"/>
  <c r="M46" i="3"/>
  <c r="L46" i="3"/>
  <c r="M45" i="3"/>
  <c r="L45" i="3"/>
  <c r="K45" i="3"/>
  <c r="J45" i="3"/>
  <c r="I45" i="3"/>
  <c r="H45" i="3"/>
  <c r="G45" i="3"/>
  <c r="E45" i="3"/>
  <c r="M37" i="3"/>
  <c r="M36" i="3"/>
  <c r="M35" i="3"/>
  <c r="M34" i="3"/>
  <c r="M33" i="3"/>
  <c r="M32" i="3"/>
  <c r="L37" i="3"/>
  <c r="L36" i="3"/>
  <c r="K36" i="3"/>
  <c r="J36" i="3"/>
  <c r="I36" i="3"/>
  <c r="H36" i="3"/>
  <c r="L35" i="3"/>
  <c r="K35" i="3"/>
  <c r="J35" i="3"/>
  <c r="I35" i="3"/>
  <c r="H35" i="3"/>
  <c r="L34" i="3"/>
  <c r="K34" i="3"/>
  <c r="J34" i="3"/>
  <c r="I34" i="3"/>
  <c r="H34" i="3"/>
  <c r="L33" i="3"/>
  <c r="K33" i="3"/>
  <c r="J33" i="3"/>
  <c r="I33" i="3"/>
  <c r="H33" i="3"/>
  <c r="L32" i="3"/>
  <c r="K32" i="3"/>
  <c r="J32" i="3"/>
  <c r="I32" i="3"/>
  <c r="H32" i="3"/>
  <c r="G36" i="3"/>
  <c r="G35" i="3"/>
  <c r="G34" i="3"/>
  <c r="G33" i="3"/>
  <c r="G32" i="3"/>
  <c r="E36" i="3"/>
  <c r="E35" i="3"/>
  <c r="E34" i="3"/>
  <c r="E33" i="3"/>
  <c r="O17" i="3"/>
  <c r="O16" i="3"/>
  <c r="O15" i="3"/>
  <c r="O14" i="3"/>
  <c r="O13" i="3"/>
  <c r="O12" i="3"/>
  <c r="J23" i="3"/>
  <c r="T53" i="4" l="1"/>
  <c r="T61" i="4" s="1"/>
  <c r="T70" i="4"/>
  <c r="E89" i="4"/>
  <c r="E92" i="4" s="1"/>
  <c r="O89" i="4"/>
  <c r="J41" i="4"/>
  <c r="T82" i="4"/>
  <c r="K89" i="4"/>
  <c r="K92" i="4" s="1"/>
  <c r="N92" i="4"/>
  <c r="S89" i="4"/>
  <c r="S92" i="4" s="1"/>
  <c r="T35" i="4"/>
  <c r="T25" i="4"/>
  <c r="O92" i="4"/>
  <c r="Q89" i="4"/>
  <c r="Q92" i="4" s="1"/>
  <c r="H89" i="4"/>
  <c r="H92" i="4" s="1"/>
  <c r="L92" i="4"/>
  <c r="F89" i="4"/>
  <c r="F92" i="4" s="1"/>
  <c r="P89" i="4"/>
  <c r="P92" i="4" s="1"/>
  <c r="V17" i="4"/>
  <c r="V21" i="4"/>
  <c r="R61" i="4"/>
  <c r="R89" i="4" s="1"/>
  <c r="R92" i="4" s="1"/>
  <c r="L1" i="4"/>
  <c r="L5" i="4" s="1"/>
  <c r="T86" i="4"/>
  <c r="T87" i="4" s="1"/>
  <c r="M17" i="3"/>
  <c r="M16" i="3"/>
  <c r="M13" i="3"/>
  <c r="M12" i="3"/>
  <c r="L18" i="3"/>
  <c r="L17" i="3"/>
  <c r="L16" i="3"/>
  <c r="L15" i="3"/>
  <c r="L14" i="3"/>
  <c r="L13" i="3"/>
  <c r="L12" i="3"/>
  <c r="L11" i="3"/>
  <c r="T41" i="4" l="1"/>
  <c r="J50" i="4"/>
  <c r="V25" i="4"/>
  <c r="V27" i="4" s="1"/>
  <c r="F17" i="3"/>
  <c r="F15" i="3"/>
  <c r="D13" i="3"/>
  <c r="D15" i="3"/>
  <c r="D12" i="3"/>
  <c r="D14" i="3"/>
  <c r="D17" i="3"/>
  <c r="D16" i="3"/>
  <c r="E16" i="3"/>
  <c r="F16" i="3" s="1"/>
  <c r="E13" i="3"/>
  <c r="F13" i="3" s="1"/>
  <c r="E12" i="3"/>
  <c r="F12" i="3" s="1"/>
  <c r="E14" i="3"/>
  <c r="F14" i="3" s="1"/>
  <c r="T50" i="4" l="1"/>
  <c r="J89" i="4"/>
  <c r="J24" i="3"/>
  <c r="G24" i="3"/>
  <c r="N17" i="3"/>
  <c r="N16" i="3"/>
  <c r="G16" i="3"/>
  <c r="I16" i="3" s="1"/>
  <c r="N15" i="3"/>
  <c r="G15" i="3"/>
  <c r="N14" i="3"/>
  <c r="G14" i="3"/>
  <c r="N13" i="3"/>
  <c r="N46" i="3" s="1"/>
  <c r="J46" i="3"/>
  <c r="T29" i="5" s="1"/>
  <c r="AB29" i="5" s="1"/>
  <c r="G13" i="3"/>
  <c r="I13" i="3" s="1"/>
  <c r="G12" i="3"/>
  <c r="N11" i="3"/>
  <c r="G11" i="3"/>
  <c r="G23" i="3" s="1"/>
  <c r="S88" i="2"/>
  <c r="R88" i="2"/>
  <c r="Q88" i="2"/>
  <c r="P88" i="2"/>
  <c r="O88" i="2"/>
  <c r="N88" i="2"/>
  <c r="M88" i="2"/>
  <c r="L88" i="2"/>
  <c r="K88" i="2"/>
  <c r="J88" i="2"/>
  <c r="H88" i="2"/>
  <c r="F88" i="2"/>
  <c r="E88" i="2"/>
  <c r="T87" i="2"/>
  <c r="T86" i="2"/>
  <c r="T88" i="2" s="1"/>
  <c r="S83" i="2"/>
  <c r="R83" i="2"/>
  <c r="Q83" i="2"/>
  <c r="P83" i="2"/>
  <c r="O83" i="2"/>
  <c r="N83" i="2"/>
  <c r="M83" i="2"/>
  <c r="L83" i="2"/>
  <c r="K83" i="2"/>
  <c r="J83" i="2"/>
  <c r="H83" i="2"/>
  <c r="F83" i="2"/>
  <c r="E83" i="2"/>
  <c r="T82" i="2"/>
  <c r="T81" i="2"/>
  <c r="T80" i="2"/>
  <c r="T79" i="2"/>
  <c r="T78" i="2"/>
  <c r="T77" i="2"/>
  <c r="T76" i="2"/>
  <c r="T75" i="2"/>
  <c r="T74" i="2"/>
  <c r="S71" i="2"/>
  <c r="R71" i="2"/>
  <c r="Q71" i="2"/>
  <c r="P71" i="2"/>
  <c r="O71" i="2"/>
  <c r="N71" i="2"/>
  <c r="M71" i="2"/>
  <c r="L71" i="2"/>
  <c r="K71" i="2"/>
  <c r="J71" i="2"/>
  <c r="H71" i="2"/>
  <c r="F71" i="2"/>
  <c r="E71" i="2"/>
  <c r="T70" i="2"/>
  <c r="T69" i="2"/>
  <c r="T68" i="2"/>
  <c r="T67" i="2"/>
  <c r="T66" i="2"/>
  <c r="T65" i="2"/>
  <c r="S62" i="2"/>
  <c r="Q62" i="2"/>
  <c r="O62" i="2"/>
  <c r="N62" i="2"/>
  <c r="M62" i="2"/>
  <c r="L62" i="2"/>
  <c r="K62" i="2"/>
  <c r="J62" i="2"/>
  <c r="H62" i="2"/>
  <c r="E62" i="2"/>
  <c r="T61" i="2"/>
  <c r="T60" i="2"/>
  <c r="R59" i="2"/>
  <c r="T59" i="2" s="1"/>
  <c r="T58" i="2"/>
  <c r="T57" i="2"/>
  <c r="T56" i="2"/>
  <c r="F62" i="2"/>
  <c r="T55" i="2"/>
  <c r="R54" i="2"/>
  <c r="P54" i="2"/>
  <c r="T54" i="2" s="1"/>
  <c r="S51" i="2"/>
  <c r="S90" i="2" s="1"/>
  <c r="R51" i="2"/>
  <c r="Q51" i="2"/>
  <c r="O51" i="2"/>
  <c r="N51" i="2"/>
  <c r="M51" i="2"/>
  <c r="L51" i="2"/>
  <c r="K51" i="2"/>
  <c r="E51" i="2"/>
  <c r="T50" i="2"/>
  <c r="T49" i="2"/>
  <c r="T48" i="2"/>
  <c r="T47" i="2"/>
  <c r="T45" i="2"/>
  <c r="T44" i="2"/>
  <c r="T43" i="2"/>
  <c r="F51" i="2"/>
  <c r="P51" i="2"/>
  <c r="T40" i="2"/>
  <c r="T39" i="2"/>
  <c r="T38" i="2"/>
  <c r="R35" i="2"/>
  <c r="Q35" i="2"/>
  <c r="P35" i="2"/>
  <c r="O35" i="2"/>
  <c r="N35" i="2"/>
  <c r="M35" i="2"/>
  <c r="L35" i="2"/>
  <c r="K35" i="2"/>
  <c r="K90" i="2" s="1"/>
  <c r="J35" i="2"/>
  <c r="H35" i="2"/>
  <c r="F35" i="2"/>
  <c r="E35" i="2"/>
  <c r="T34" i="2"/>
  <c r="T33" i="2"/>
  <c r="T32" i="2"/>
  <c r="T31" i="2"/>
  <c r="T30" i="2"/>
  <c r="T29" i="2"/>
  <c r="T28" i="2"/>
  <c r="S25" i="2"/>
  <c r="S93" i="2" s="1"/>
  <c r="R25" i="2"/>
  <c r="Q25" i="2"/>
  <c r="P25" i="2"/>
  <c r="O25" i="2"/>
  <c r="N25" i="2"/>
  <c r="M25" i="2"/>
  <c r="L25" i="2"/>
  <c r="K25" i="2"/>
  <c r="J25" i="2"/>
  <c r="H25" i="2"/>
  <c r="F25" i="2"/>
  <c r="E25" i="2"/>
  <c r="T24" i="2"/>
  <c r="T23" i="2"/>
  <c r="T22" i="2"/>
  <c r="T21" i="2"/>
  <c r="V21" i="2" s="1"/>
  <c r="T20" i="2"/>
  <c r="V20" i="2" s="1"/>
  <c r="T19" i="2"/>
  <c r="V19" i="2" s="1"/>
  <c r="T18" i="2"/>
  <c r="V18" i="2" s="1"/>
  <c r="T17" i="2"/>
  <c r="V17" i="2" s="1"/>
  <c r="P6" i="2"/>
  <c r="J5" i="2"/>
  <c r="H3" i="2" s="1"/>
  <c r="L3" i="2" s="1"/>
  <c r="H4" i="2"/>
  <c r="L4" i="2" s="1"/>
  <c r="G90" i="1"/>
  <c r="F90" i="1"/>
  <c r="F89" i="1"/>
  <c r="G89" i="1" s="1"/>
  <c r="F88" i="1"/>
  <c r="G88" i="1" s="1"/>
  <c r="G80" i="1"/>
  <c r="D61" i="1"/>
  <c r="D60" i="1"/>
  <c r="D59" i="1"/>
  <c r="D58" i="1"/>
  <c r="D57" i="1"/>
  <c r="D56" i="1"/>
  <c r="D55" i="1"/>
  <c r="L49" i="1"/>
  <c r="D49" i="1"/>
  <c r="F49" i="1" s="1"/>
  <c r="L39" i="1"/>
  <c r="L38" i="1"/>
  <c r="L37" i="1"/>
  <c r="L36" i="1"/>
  <c r="F28" i="1"/>
  <c r="J27" i="1"/>
  <c r="I27" i="1"/>
  <c r="H27" i="1"/>
  <c r="G27" i="1"/>
  <c r="F27" i="1"/>
  <c r="D27" i="1"/>
  <c r="L26" i="1"/>
  <c r="M26" i="1" s="1"/>
  <c r="M27" i="1" s="1"/>
  <c r="D26" i="1"/>
  <c r="D21" i="1"/>
  <c r="L20" i="1"/>
  <c r="M20" i="1" s="1"/>
  <c r="L19" i="1"/>
  <c r="L62" i="1" s="1"/>
  <c r="I19" i="1"/>
  <c r="I39" i="1" s="1"/>
  <c r="E19" i="1"/>
  <c r="F19" i="1" s="1"/>
  <c r="D19" i="1"/>
  <c r="D62" i="1" s="1"/>
  <c r="L18" i="1"/>
  <c r="L61" i="1" s="1"/>
  <c r="I18" i="1"/>
  <c r="I38" i="1" s="1"/>
  <c r="H18" i="1"/>
  <c r="H38" i="1" s="1"/>
  <c r="F18" i="1"/>
  <c r="E18" i="1"/>
  <c r="L17" i="1"/>
  <c r="L60" i="1" s="1"/>
  <c r="K17" i="1"/>
  <c r="I17" i="1"/>
  <c r="I37" i="1" s="1"/>
  <c r="E17" i="1"/>
  <c r="F17" i="1" s="1"/>
  <c r="L16" i="1"/>
  <c r="L59" i="1" s="1"/>
  <c r="I16" i="1"/>
  <c r="I36" i="1" s="1"/>
  <c r="E16" i="1"/>
  <c r="F16" i="1" s="1"/>
  <c r="E15" i="1"/>
  <c r="E21" i="1" s="1"/>
  <c r="K14" i="1"/>
  <c r="L14" i="1" s="1"/>
  <c r="I14" i="1"/>
  <c r="I48" i="1" s="1"/>
  <c r="I50" i="1" s="1"/>
  <c r="H14" i="1"/>
  <c r="H48" i="1" s="1"/>
  <c r="F14" i="1"/>
  <c r="E14" i="1"/>
  <c r="L13" i="1"/>
  <c r="L35" i="1" s="1"/>
  <c r="L40" i="1" s="1"/>
  <c r="K13" i="1"/>
  <c r="K21" i="1" s="1"/>
  <c r="I13" i="1"/>
  <c r="I21" i="1" s="1"/>
  <c r="E13" i="1"/>
  <c r="F13" i="1" s="1"/>
  <c r="L12" i="1"/>
  <c r="L56" i="1" s="1"/>
  <c r="J12" i="1"/>
  <c r="G12" i="1"/>
  <c r="F12" i="1"/>
  <c r="F56" i="1" s="1"/>
  <c r="M11" i="1"/>
  <c r="L11" i="1"/>
  <c r="L55" i="1" s="1"/>
  <c r="F11" i="1"/>
  <c r="F55" i="1" s="1"/>
  <c r="T33" i="5" l="1"/>
  <c r="M23" i="3"/>
  <c r="M24" i="3" s="1"/>
  <c r="T83" i="2"/>
  <c r="T71" i="2"/>
  <c r="T35" i="2"/>
  <c r="N90" i="2"/>
  <c r="N93" i="2" s="1"/>
  <c r="O90" i="2"/>
  <c r="Q90" i="2"/>
  <c r="Q93" i="2" s="1"/>
  <c r="O93" i="2"/>
  <c r="M90" i="2"/>
  <c r="M93" i="2" s="1"/>
  <c r="L90" i="2"/>
  <c r="L93" i="2" s="1"/>
  <c r="T3" i="2"/>
  <c r="T4" i="2" s="1"/>
  <c r="T25" i="2"/>
  <c r="R62" i="2"/>
  <c r="R90" i="2" s="1"/>
  <c r="R93" i="2" s="1"/>
  <c r="E90" i="2"/>
  <c r="E93" i="2" s="1"/>
  <c r="J92" i="4"/>
  <c r="T92" i="4" s="1"/>
  <c r="T89" i="4"/>
  <c r="K11" i="3"/>
  <c r="K23" i="3" s="1"/>
  <c r="K24" i="3" s="1"/>
  <c r="I11" i="3"/>
  <c r="I23" i="3" s="1"/>
  <c r="I24" i="3" s="1"/>
  <c r="H11" i="3"/>
  <c r="H23" i="3" s="1"/>
  <c r="H24" i="3" s="1"/>
  <c r="M18" i="3"/>
  <c r="E23" i="3"/>
  <c r="E24" i="3" s="1"/>
  <c r="N12" i="3"/>
  <c r="N18" i="3" s="1"/>
  <c r="J30" i="5" s="1"/>
  <c r="E18" i="3"/>
  <c r="I46" i="3"/>
  <c r="G17" i="3"/>
  <c r="H17" i="3" s="1"/>
  <c r="J18" i="3"/>
  <c r="J29" i="5" s="1"/>
  <c r="E32" i="3"/>
  <c r="K12" i="3"/>
  <c r="I12" i="3"/>
  <c r="H12" i="3"/>
  <c r="K14" i="3"/>
  <c r="I14" i="3"/>
  <c r="H14" i="3"/>
  <c r="H15" i="3"/>
  <c r="K15" i="3"/>
  <c r="I15" i="3"/>
  <c r="H13" i="3"/>
  <c r="H46" i="3" s="1"/>
  <c r="H16" i="3"/>
  <c r="J37" i="3"/>
  <c r="K13" i="3"/>
  <c r="K16" i="3"/>
  <c r="T41" i="2"/>
  <c r="J51" i="2"/>
  <c r="T51" i="2" s="1"/>
  <c r="K93" i="2"/>
  <c r="V25" i="2"/>
  <c r="V27" i="2" s="1"/>
  <c r="F90" i="2"/>
  <c r="T62" i="2"/>
  <c r="P62" i="2"/>
  <c r="P90" i="2" s="1"/>
  <c r="P93" i="2" s="1"/>
  <c r="H1" i="2"/>
  <c r="T42" i="2"/>
  <c r="H2" i="2"/>
  <c r="L2" i="2" s="1"/>
  <c r="H51" i="2"/>
  <c r="H90" i="2" s="1"/>
  <c r="H93" i="2" s="1"/>
  <c r="J17" i="1"/>
  <c r="J37" i="1" s="1"/>
  <c r="D37" i="1"/>
  <c r="F37" i="1" s="1"/>
  <c r="F60" i="1"/>
  <c r="H17" i="1"/>
  <c r="H37" i="1" s="1"/>
  <c r="G17" i="1"/>
  <c r="G37" i="1" s="1"/>
  <c r="M28" i="1"/>
  <c r="I51" i="1"/>
  <c r="I71" i="1" s="1"/>
  <c r="I64" i="1"/>
  <c r="I70" i="1" s="1"/>
  <c r="I65" i="1"/>
  <c r="I68" i="1" s="1"/>
  <c r="M19" i="1"/>
  <c r="D39" i="1"/>
  <c r="F39" i="1" s="1"/>
  <c r="M39" i="1" s="1"/>
  <c r="J19" i="1"/>
  <c r="J39" i="1" s="1"/>
  <c r="H19" i="1"/>
  <c r="H39" i="1" s="1"/>
  <c r="G19" i="1"/>
  <c r="G39" i="1" s="1"/>
  <c r="F62" i="1"/>
  <c r="G16" i="1"/>
  <c r="G36" i="1" s="1"/>
  <c r="J16" i="1"/>
  <c r="J36" i="1" s="1"/>
  <c r="D36" i="1"/>
  <c r="F59" i="1"/>
  <c r="H16" i="1"/>
  <c r="H36" i="1" s="1"/>
  <c r="L48" i="1"/>
  <c r="L50" i="1" s="1"/>
  <c r="L58" i="1"/>
  <c r="L63" i="1" s="1"/>
  <c r="L21" i="1"/>
  <c r="J55" i="1"/>
  <c r="I55" i="1"/>
  <c r="I63" i="1" s="1"/>
  <c r="H55" i="1"/>
  <c r="G55" i="1"/>
  <c r="M55" i="1" s="1"/>
  <c r="M63" i="1" s="1"/>
  <c r="G49" i="1"/>
  <c r="J49" i="1"/>
  <c r="H49" i="1"/>
  <c r="H50" i="1" s="1"/>
  <c r="L69" i="1"/>
  <c r="L74" i="1"/>
  <c r="D63" i="1"/>
  <c r="G13" i="1"/>
  <c r="G35" i="1" s="1"/>
  <c r="J13" i="1"/>
  <c r="J35" i="1" s="1"/>
  <c r="J40" i="1" s="1"/>
  <c r="D35" i="1"/>
  <c r="F35" i="1" s="1"/>
  <c r="G23" i="1"/>
  <c r="G24" i="1" s="1"/>
  <c r="C13" i="1"/>
  <c r="F57" i="1"/>
  <c r="H13" i="1"/>
  <c r="H35" i="1" s="1"/>
  <c r="I56" i="1"/>
  <c r="H56" i="1"/>
  <c r="M56" i="1"/>
  <c r="G56" i="1"/>
  <c r="J56" i="1"/>
  <c r="L27" i="1"/>
  <c r="H12" i="1"/>
  <c r="G14" i="1"/>
  <c r="G48" i="1" s="1"/>
  <c r="G50" i="1" s="1"/>
  <c r="F15" i="1"/>
  <c r="G18" i="1"/>
  <c r="G38" i="1" s="1"/>
  <c r="I35" i="1"/>
  <c r="I40" i="1" s="1"/>
  <c r="L57" i="1"/>
  <c r="M12" i="1"/>
  <c r="J14" i="1"/>
  <c r="J48" i="1" s="1"/>
  <c r="J18" i="1"/>
  <c r="J38" i="1" s="1"/>
  <c r="F29" i="1"/>
  <c r="F58" i="1"/>
  <c r="F61" i="1"/>
  <c r="D38" i="1"/>
  <c r="F38" i="1" s="1"/>
  <c r="D48" i="1"/>
  <c r="T83" i="5" l="1"/>
  <c r="T90" i="5" s="1"/>
  <c r="T91" i="5" s="1"/>
  <c r="AA30" i="5"/>
  <c r="U30" i="5"/>
  <c r="M30" i="5"/>
  <c r="O11" i="3"/>
  <c r="L33" i="5"/>
  <c r="O23" i="3"/>
  <c r="O24" i="3" s="1"/>
  <c r="U29" i="5"/>
  <c r="X33" i="5"/>
  <c r="X83" i="5" s="1"/>
  <c r="AA29" i="5"/>
  <c r="M29" i="5"/>
  <c r="F93" i="2"/>
  <c r="F102" i="2"/>
  <c r="F104" i="2" s="1"/>
  <c r="J90" i="2"/>
  <c r="T90" i="2" s="1"/>
  <c r="K46" i="3"/>
  <c r="I17" i="3"/>
  <c r="I37" i="3" s="1"/>
  <c r="G18" i="3"/>
  <c r="J27" i="5" s="1"/>
  <c r="K17" i="3"/>
  <c r="K37" i="3" s="1"/>
  <c r="F18" i="3"/>
  <c r="E46" i="3"/>
  <c r="O35" i="3"/>
  <c r="O33" i="3"/>
  <c r="H37" i="3"/>
  <c r="H18" i="3"/>
  <c r="J28" i="5" s="1"/>
  <c r="O34" i="3"/>
  <c r="H5" i="2"/>
  <c r="L1" i="2"/>
  <c r="L5" i="2" s="1"/>
  <c r="H51" i="1"/>
  <c r="H71" i="1" s="1"/>
  <c r="H64" i="1"/>
  <c r="H70" i="1" s="1"/>
  <c r="H65" i="1"/>
  <c r="H68" i="1" s="1"/>
  <c r="J15" i="1"/>
  <c r="G15" i="1"/>
  <c r="G21" i="1" s="1"/>
  <c r="H15" i="1"/>
  <c r="H21" i="1" s="1"/>
  <c r="M49" i="1"/>
  <c r="F21" i="1"/>
  <c r="G40" i="1"/>
  <c r="H40" i="1"/>
  <c r="L64" i="1"/>
  <c r="L70" i="1" s="1"/>
  <c r="L65" i="1"/>
  <c r="L68" i="1" s="1"/>
  <c r="L51" i="1"/>
  <c r="L71" i="1" s="1"/>
  <c r="I60" i="1"/>
  <c r="M60" i="1" s="1"/>
  <c r="H60" i="1"/>
  <c r="G60" i="1"/>
  <c r="J60" i="1"/>
  <c r="M13" i="1"/>
  <c r="G51" i="1"/>
  <c r="G71" i="1" s="1"/>
  <c r="G64" i="1"/>
  <c r="G70" i="1" s="1"/>
  <c r="G65" i="1"/>
  <c r="G68" i="1" s="1"/>
  <c r="J50" i="1"/>
  <c r="J57" i="1"/>
  <c r="J63" i="1" s="1"/>
  <c r="I57" i="1"/>
  <c r="H57" i="1"/>
  <c r="G57" i="1"/>
  <c r="G63" i="1" s="1"/>
  <c r="F63" i="1"/>
  <c r="J62" i="1"/>
  <c r="I62" i="1"/>
  <c r="M62" i="1" s="1"/>
  <c r="H62" i="1"/>
  <c r="G62" i="1"/>
  <c r="M37" i="1"/>
  <c r="J69" i="1"/>
  <c r="F48" i="1"/>
  <c r="D50" i="1"/>
  <c r="J59" i="1"/>
  <c r="I59" i="1"/>
  <c r="M59" i="1" s="1"/>
  <c r="H59" i="1"/>
  <c r="G59" i="1"/>
  <c r="M17" i="1"/>
  <c r="M38" i="1"/>
  <c r="M18" i="1"/>
  <c r="M16" i="1"/>
  <c r="J21" i="1"/>
  <c r="I58" i="1"/>
  <c r="H58" i="1"/>
  <c r="G58" i="1"/>
  <c r="M58" i="1" s="1"/>
  <c r="J58" i="1"/>
  <c r="I61" i="1"/>
  <c r="H61" i="1"/>
  <c r="M61" i="1" s="1"/>
  <c r="G61" i="1"/>
  <c r="J61" i="1"/>
  <c r="I69" i="1"/>
  <c r="I72" i="1" s="1"/>
  <c r="I74" i="1"/>
  <c r="M35" i="1"/>
  <c r="F36" i="1"/>
  <c r="M36" i="1" s="1"/>
  <c r="D40" i="1"/>
  <c r="M14" i="1"/>
  <c r="L83" i="5" l="1"/>
  <c r="L86" i="5" s="1"/>
  <c r="AE33" i="5"/>
  <c r="T17" i="5"/>
  <c r="AB17" i="5" s="1"/>
  <c r="J17" i="5" s="1"/>
  <c r="W17" i="5" s="1"/>
  <c r="M27" i="5"/>
  <c r="U27" i="5"/>
  <c r="AA27" i="5"/>
  <c r="AA28" i="5"/>
  <c r="U28" i="5"/>
  <c r="AB33" i="5"/>
  <c r="AB83" i="5" s="1"/>
  <c r="M28" i="5"/>
  <c r="X90" i="5"/>
  <c r="X91" i="5" s="1"/>
  <c r="X18" i="5"/>
  <c r="AB18" i="5" s="1"/>
  <c r="J18" i="5" s="1"/>
  <c r="J93" i="2"/>
  <c r="T93" i="2" s="1"/>
  <c r="O32" i="3"/>
  <c r="O36" i="3"/>
  <c r="E37" i="3"/>
  <c r="I18" i="3"/>
  <c r="J31" i="5" s="1"/>
  <c r="O18" i="3"/>
  <c r="K18" i="3"/>
  <c r="J32" i="5" s="1"/>
  <c r="G37" i="3"/>
  <c r="G46" i="3"/>
  <c r="O45" i="3"/>
  <c r="O46" i="3" s="1"/>
  <c r="M57" i="1"/>
  <c r="F40" i="1"/>
  <c r="L72" i="1"/>
  <c r="M40" i="1"/>
  <c r="M80" i="1" s="1"/>
  <c r="M86" i="1" s="1"/>
  <c r="H74" i="1"/>
  <c r="H69" i="1"/>
  <c r="M15" i="1"/>
  <c r="M21" i="1" s="1"/>
  <c r="H63" i="1"/>
  <c r="J64" i="1"/>
  <c r="J70" i="1" s="1"/>
  <c r="J65" i="1"/>
  <c r="J68" i="1" s="1"/>
  <c r="J51" i="1"/>
  <c r="J71" i="1" s="1"/>
  <c r="H72" i="1"/>
  <c r="F50" i="1"/>
  <c r="M48" i="1"/>
  <c r="M50" i="1" s="1"/>
  <c r="G69" i="1"/>
  <c r="G74" i="1"/>
  <c r="J74" i="1"/>
  <c r="G72" i="1"/>
  <c r="F74" i="1"/>
  <c r="M74" i="1" s="1"/>
  <c r="M22" i="1"/>
  <c r="Y91" i="5" l="1"/>
  <c r="M19" i="5" s="1"/>
  <c r="U17" i="5"/>
  <c r="T24" i="5"/>
  <c r="T86" i="5" s="1"/>
  <c r="J33" i="5"/>
  <c r="J83" i="5" s="1"/>
  <c r="U31" i="5"/>
  <c r="AA31" i="5"/>
  <c r="M31" i="5"/>
  <c r="AA32" i="5"/>
  <c r="U32" i="5"/>
  <c r="M32" i="5"/>
  <c r="O19" i="3"/>
  <c r="O21" i="3" s="1"/>
  <c r="AA18" i="5"/>
  <c r="X24" i="5"/>
  <c r="O37" i="3"/>
  <c r="O76" i="3" s="1"/>
  <c r="O82" i="3" s="1"/>
  <c r="F80" i="1"/>
  <c r="F82" i="1" s="1"/>
  <c r="F69" i="1"/>
  <c r="M51" i="1"/>
  <c r="M64" i="1"/>
  <c r="M65" i="1"/>
  <c r="J72" i="1"/>
  <c r="M83" i="1"/>
  <c r="F51" i="1"/>
  <c r="F71" i="1" s="1"/>
  <c r="F64" i="1"/>
  <c r="F65" i="1"/>
  <c r="X86" i="5" l="1"/>
  <c r="AE24" i="5"/>
  <c r="O79" i="3"/>
  <c r="F70" i="1"/>
  <c r="F68" i="1"/>
  <c r="M71" i="1"/>
  <c r="M69" i="1"/>
  <c r="F84" i="1"/>
  <c r="G84" i="1" s="1"/>
  <c r="G82" i="1"/>
  <c r="F85" i="1"/>
  <c r="F83" i="1"/>
  <c r="G83" i="1" s="1"/>
  <c r="M70" i="1" l="1"/>
  <c r="M68" i="1"/>
  <c r="F72" i="1"/>
  <c r="E70" i="1" s="1"/>
  <c r="E68" i="1"/>
  <c r="E71" i="1" l="1"/>
  <c r="E69" i="1"/>
  <c r="E72" i="1" s="1"/>
  <c r="J24" i="5"/>
  <c r="J86" i="5" s="1"/>
  <c r="AD17" i="5" l="1"/>
  <c r="AD24" i="5" s="1"/>
  <c r="AD26" i="5" s="1"/>
  <c r="AB24" i="5"/>
  <c r="AB86" i="5" s="1"/>
  <c r="N48" i="5"/>
  <c r="N83" i="5" l="1"/>
  <c r="N86" i="5" l="1"/>
  <c r="R48" i="5"/>
  <c r="AE48" i="5" s="1"/>
  <c r="R83" i="5" l="1"/>
  <c r="AE83" i="5" s="1"/>
  <c r="R86" i="5" l="1"/>
  <c r="AE8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tc={F34C673E-24D2-4460-A8D0-16497771EEC6}</author>
    <author>tc={03570C11-500D-455C-AB44-3F0371785BE4}</author>
    <author>tc={1A328B64-8F5C-4C02-9C54-593FCA2AE37A}</author>
    <author>tc={9C82EFB0-1204-4425-AEF2-CD8206CC32FD}</author>
  </authors>
  <commentList>
    <comment ref="H44" authorId="0" shapeId="0" xr:uid="{F34C673E-24D2-4460-A8D0-16497771EEC6}">
      <text>
        <t>[Threaded comment]
Your version of Excel allows you to read this threaded comment; however, any edits to it will get removed if the file is opened in a newer version of Excel. Learn more: https://go.microsoft.com/fwlink/?linkid=870924
Comment:
    Prom &amp; Trip Spark</t>
      </text>
    </comment>
    <comment ref="H45" authorId="1" shapeId="0" xr:uid="{03570C11-500D-455C-AB44-3F0371785BE4}">
      <text>
        <t>[Threaded comment]
Your version of Excel allows you to read this threaded comment; however, any edits to it will get removed if the file is opened in a newer version of Excel. Learn more: https://go.microsoft.com/fwlink/?linkid=870924
Comment:
    Connect Think</t>
      </text>
    </comment>
    <comment ref="J86" authorId="2" shapeId="0" xr:uid="{1A328B64-8F5C-4C02-9C54-593FCA2AE37A}">
      <text>
        <t>[Threaded comment]
Your version of Excel allows you to read this threaded comment; however, any edits to it will get removed if the file is opened in a newer version of Excel. Learn more: https://go.microsoft.com/fwlink/?linkid=870924
Comment:
    ITA, Amazon</t>
      </text>
    </comment>
    <comment ref="P86" authorId="3" shapeId="0" xr:uid="{9C82EFB0-1204-4425-AEF2-CD8206CC32F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CTA, County C of C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tc={D8DEC864-C5FF-4160-85A7-ADAC2B57892C}</author>
    <author>tc={BE0C2E75-D751-4BA7-A18D-BC4C1127BF51}</author>
    <author>tc={008EEF7F-4117-438D-97E6-5B7C902B25AB}</author>
    <author>tc={BF8B99CF-B251-45DA-82C1-7D015604240F}</author>
    <author>tc={BB5EA935-BDA5-4C2E-864F-64AD381E2A2A}</author>
    <author>Melissa Henderson</author>
    <author>tc={7D13EC70-C430-44B2-9C6F-CE684D772572}</author>
    <author>tc={23A8C0BF-295B-4FFC-9083-12C20578348B}</author>
    <author>tc={3E350788-C5FE-4E81-9602-5C8C58E275B3}</author>
    <author>tc={5E13A2F5-75C6-4FA5-A47B-C3A2DA63A01A}</author>
    <author>tc={F5FAF86F-6A48-4417-A2EF-C1DB4FA0F98F}</author>
    <author>tc={30033EB0-7719-44CE-8FAF-31A5851DCA01}</author>
  </authors>
  <commentList>
    <comment ref="F17" authorId="0" shapeId="0" xr:uid="{D8DEC864-C5FF-4160-85A7-ADAC2B57892C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bus shelters grant</t>
      </text>
    </comment>
    <comment ref="I21" authorId="1" shapeId="0" xr:uid="{BE0C2E75-D751-4BA7-A18D-BC4C1127BF51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Contribution estimated $464,000</t>
      </text>
    </comment>
    <comment ref="I22" authorId="2" shapeId="0" xr:uid="{008EEF7F-4117-438D-97E6-5B7C902B25AB}">
      <text>
        <t>[Threaded comment]
Your version of Excel allows you to read this threaded comment; however, any edits to it will get removed if the file is opened in a newer version of Excel. Learn more: https://go.microsoft.com/fwlink/?linkid=870924
Comment:
    Amazon reimbursement $5000/month beg March 2020</t>
      </text>
    </comment>
    <comment ref="I42" authorId="3" shapeId="0" xr:uid="{BF8B99CF-B251-45DA-82C1-7D015604240F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charge for Promethius</t>
      </text>
    </comment>
    <comment ref="I43" authorId="4" shapeId="0" xr:uid="{BB5EA935-BDA5-4C2E-864F-64AD381E2A2A}">
      <text>
        <t>[Threaded comment]
Your version of Excel allows you to read this threaded comment; however, any edits to it will get removed if the file is opened in a newer version of Excel. Learn more: https://go.microsoft.com/fwlink/?linkid=870924
Comment:
    KSMC APP Developer
Reply:
    and includes TripSpark</t>
      </text>
    </comment>
    <comment ref="I52" authorId="5" shapeId="0" xr:uid="{F331D1F1-6A24-45AD-8033-AFA749183155}">
      <text>
        <r>
          <rPr>
            <b/>
            <sz val="9"/>
            <color indexed="81"/>
            <rFont val="Tahoma"/>
            <family val="2"/>
          </rPr>
          <t>Melissa Henderson:</t>
        </r>
        <r>
          <rPr>
            <sz val="9"/>
            <color indexed="81"/>
            <rFont val="Tahoma"/>
            <family val="2"/>
          </rPr>
          <t xml:space="preserve">
ATT &amp; Priority Communications
</t>
        </r>
      </text>
    </comment>
    <comment ref="I55" authorId="6" shapeId="0" xr:uid="{7D13EC70-C430-44B2-9C6F-CE684D772572}">
      <text>
        <t>[Threaded comment]
Your version of Excel allows you to read this threaded comment; however, any edits to it will get removed if the file is opened in a newer version of Excel. Learn more: https://go.microsoft.com/fwlink/?linkid=870924
Comment:
    $3000 for Jen and $1800 for DR</t>
      </text>
    </comment>
    <comment ref="I56" authorId="7" shapeId="0" xr:uid="{23A8C0BF-295B-4FFC-9083-12C20578348B}">
      <text>
        <t>[Threaded comment]
Your version of Excel allows you to read this threaded comment; however, any edits to it will get removed if the file is opened in a newer version of Excel. Learn more: https://go.microsoft.com/fwlink/?linkid=870924
Comment:
    Affirm contract - media buys
Reply:
    marketing supplies</t>
      </text>
    </comment>
    <comment ref="I63" authorId="8" shapeId="0" xr:uid="{3E350788-C5FE-4E81-9602-5C8C58E275B3}">
      <text>
        <t>[Threaded comment]
Your version of Excel allows you to read this threaded comment; however, any edits to it will get removed if the file is opened in a newer version of Excel. Learn more: https://go.microsoft.com/fwlink/?linkid=870924
Comment:
    Wells fargo</t>
      </text>
    </comment>
    <comment ref="I65" authorId="9" shapeId="0" xr:uid="{5E13A2F5-75C6-4FA5-A47B-C3A2DA63A01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van for CC</t>
      </text>
    </comment>
    <comment ref="K79" authorId="10" shapeId="0" xr:uid="{F5FAF86F-6A48-4417-A2EF-C1DB4FA0F98F}">
      <text>
        <t>[Threaded comment]
Your version of Excel allows you to read this threaded comment; however, any edits to it will get removed if the file is opened in a newer version of Excel. Learn more: https://go.microsoft.com/fwlink/?linkid=870924
Comment:
    ITA, Amazon</t>
      </text>
    </comment>
    <comment ref="S79" authorId="11" shapeId="0" xr:uid="{30033EB0-7719-44CE-8FAF-31A5851DCA01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CTA, County C of C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tc={64B25162-D75D-4826-8216-DDE61CAC32B2}</author>
    <author>tc={2B6FFCFA-A303-4334-A24B-9DBB8E058109}</author>
    <author>tc={3A4251A0-C976-44F6-94A3-175E1F4CB326}</author>
    <author>tc={F61E5AC6-CA44-4189-A8D7-C69540F4E835}</author>
    <author>tc={012F07DA-9481-450E-B8AB-416EE06FAF4F}</author>
    <author>Melissa Henderson</author>
    <author>tc={34C495FD-259E-4DA4-BE8A-5D8D73ACD00F}</author>
    <author>tc={258CE2CD-4792-463B-A10E-BD415CF780BD}</author>
    <author>tc={B2AF7B39-00F3-496E-9C76-6B38FC7B83FB}</author>
    <author>tc={13303CC9-A0BA-4F91-A1D3-F918800B536D}</author>
    <author>tc={0D1865FA-0303-4B04-971F-4C23A5D643E9}</author>
    <author>tc={189F1C8F-AF63-4594-A43B-676340447914}</author>
  </authors>
  <commentList>
    <comment ref="J21" authorId="0" shapeId="0" xr:uid="{64B25162-D75D-4826-8216-DDE61CAC32B2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Contribution estimated $464,000</t>
      </text>
    </comment>
    <comment ref="J22" authorId="1" shapeId="0" xr:uid="{2B6FFCFA-A303-4334-A24B-9DBB8E058109}">
      <text>
        <t>[Threaded comment]
Your version of Excel allows you to read this threaded comment; however, any edits to it will get removed if the file is opened in a newer version of Excel. Learn more: https://go.microsoft.com/fwlink/?linkid=870924
Comment:
    Amazon reimbursement $5000/month beg March 2020</t>
      </text>
    </comment>
    <comment ref="G23" authorId="2" shapeId="0" xr:uid="{3A4251A0-C976-44F6-94A3-175E1F4CB326}">
      <text>
        <t>[Threaded comment]
Your version of Excel allows you to read this threaded comment; however, any edits to it will get removed if the file is opened in a newer version of Excel. Learn more: https://go.microsoft.com/fwlink/?linkid=870924
Comment:
    Interest Income</t>
      </text>
    </comment>
    <comment ref="J42" authorId="3" shapeId="0" xr:uid="{F61E5AC6-CA44-4189-A8D7-C69540F4E835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charge for Promethius</t>
      </text>
    </comment>
    <comment ref="J43" authorId="4" shapeId="0" xr:uid="{012F07DA-9481-450E-B8AB-416EE06FAF4F}">
      <text>
        <t>[Threaded comment]
Your version of Excel allows you to read this threaded comment; however, any edits to it will get removed if the file is opened in a newer version of Excel. Learn more: https://go.microsoft.com/fwlink/?linkid=870924
Comment:
    KSMC APP Developer
Reply:
    and includes TripSpark</t>
      </text>
    </comment>
    <comment ref="J52" authorId="5" shapeId="0" xr:uid="{FDF4CF94-723F-4C4C-91DA-E42DE70064EF}">
      <text>
        <r>
          <rPr>
            <b/>
            <sz val="9"/>
            <color indexed="81"/>
            <rFont val="Tahoma"/>
            <family val="2"/>
          </rPr>
          <t>Melissa Henderson:</t>
        </r>
        <r>
          <rPr>
            <sz val="9"/>
            <color indexed="81"/>
            <rFont val="Tahoma"/>
            <family val="2"/>
          </rPr>
          <t xml:space="preserve">
ATT &amp; Priority Communications
</t>
        </r>
      </text>
    </comment>
    <comment ref="J55" authorId="6" shapeId="0" xr:uid="{34C495FD-259E-4DA4-BE8A-5D8D73ACD00F}">
      <text>
        <t>[Threaded comment]
Your version of Excel allows you to read this threaded comment; however, any edits to it will get removed if the file is opened in a newer version of Excel. Learn more: https://go.microsoft.com/fwlink/?linkid=870924
Comment:
    $3000 for Jen and $1800 for DR</t>
      </text>
    </comment>
    <comment ref="J56" authorId="7" shapeId="0" xr:uid="{258CE2CD-4792-463B-A10E-BD415CF780BD}">
      <text>
        <t>[Threaded comment]
Your version of Excel allows you to read this threaded comment; however, any edits to it will get removed if the file is opened in a newer version of Excel. Learn more: https://go.microsoft.com/fwlink/?linkid=870924
Comment:
    Affirm contract - media buys
Reply:
    marketing supplies</t>
      </text>
    </comment>
    <comment ref="J63" authorId="8" shapeId="0" xr:uid="{B2AF7B39-00F3-496E-9C76-6B38FC7B83FB}">
      <text>
        <t>[Threaded comment]
Your version of Excel allows you to read this threaded comment; however, any edits to it will get removed if the file is opened in a newer version of Excel. Learn more: https://go.microsoft.com/fwlink/?linkid=870924
Comment:
    Wells fargo</t>
      </text>
    </comment>
    <comment ref="J65" authorId="9" shapeId="0" xr:uid="{13303CC9-A0BA-4F91-A1D3-F918800B536D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van for CC</t>
      </text>
    </comment>
    <comment ref="L79" authorId="10" shapeId="0" xr:uid="{0D1865FA-0303-4B04-971F-4C23A5D643E9}">
      <text>
        <t>[Threaded comment]
Your version of Excel allows you to read this threaded comment; however, any edits to it will get removed if the file is opened in a newer version of Excel. Learn more: https://go.microsoft.com/fwlink/?linkid=870924
Comment:
    ITA, Amazon</t>
      </text>
    </comment>
    <comment ref="T79" authorId="11" shapeId="0" xr:uid="{189F1C8F-AF63-4594-A43B-676340447914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CTA, County C of C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tc={21C45E3A-3157-4C97-9FB2-FA17997988A5}</author>
    <author>tc={3692967B-3C2C-4928-8614-16281BC669D7}</author>
    <author>tc={93D9D003-7EC3-41A7-A931-E39809EDD3B7}</author>
    <author>tc={F2FA4A90-64F8-4C41-970F-0146173EF4F3}</author>
  </authors>
  <commentList>
    <comment ref="E44" authorId="0" shapeId="0" xr:uid="{21C45E3A-3157-4C97-9FB2-FA17997988A5}">
      <text>
        <t>[Threaded comment]
Your version of Excel allows you to read this threaded comment; however, any edits to it will get removed if the file is opened in a newer version of Excel. Learn more: https://go.microsoft.com/fwlink/?linkid=870924
Comment:
    Prom &amp; Trip Spark</t>
      </text>
    </comment>
    <comment ref="E45" authorId="1" shapeId="0" xr:uid="{3692967B-3C2C-4928-8614-16281BC669D7}">
      <text>
        <t>[Threaded comment]
Your version of Excel allows you to read this threaded comment; however, any edits to it will get removed if the file is opened in a newer version of Excel. Learn more: https://go.microsoft.com/fwlink/?linkid=870924
Comment:
    Connect Think</t>
      </text>
    </comment>
    <comment ref="K85" authorId="2" shapeId="0" xr:uid="{93D9D003-7EC3-41A7-A931-E39809EDD3B7}">
      <text>
        <t>[Threaded comment]
Your version of Excel allows you to read this threaded comment; however, any edits to it will get removed if the file is opened in a newer version of Excel. Learn more: https://go.microsoft.com/fwlink/?linkid=870924
Comment:
    ITA, Amazon</t>
      </text>
    </comment>
    <comment ref="W85" authorId="3" shapeId="0" xr:uid="{F2FA4A90-64F8-4C41-970F-0146173EF4F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CTA, County C of C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tc={E29ED9B2-8CCE-44AF-B597-E3157C5EEFEE}</author>
    <author>tc={78B39DA5-14E4-4E28-B761-5630DE83E6AB}</author>
    <author>tc={DA2812EE-EE61-4B43-8B13-0F05697BAC0E}</author>
    <author>tc={A635705A-D41F-4D5B-9C3D-9FA73911DF8F}</author>
  </authors>
  <commentList>
    <comment ref="E44" authorId="0" shapeId="0" xr:uid="{E29ED9B2-8CCE-44AF-B597-E3157C5EEFEE}">
      <text>
        <t>[Threaded comment]
Your version of Excel allows you to read this threaded comment; however, any edits to it will get removed if the file is opened in a newer version of Excel. Learn more: https://go.microsoft.com/fwlink/?linkid=870924
Comment:
    Prom &amp; Trip Spark</t>
      </text>
    </comment>
    <comment ref="E45" authorId="1" shapeId="0" xr:uid="{78B39DA5-14E4-4E28-B761-5630DE83E6AB}">
      <text>
        <t>[Threaded comment]
Your version of Excel allows you to read this threaded comment; however, any edits to it will get removed if the file is opened in a newer version of Excel. Learn more: https://go.microsoft.com/fwlink/?linkid=870924
Comment:
    Connect Think</t>
      </text>
    </comment>
    <comment ref="J85" authorId="2" shapeId="0" xr:uid="{DA2812EE-EE61-4B43-8B13-0F05697BAC0E}">
      <text>
        <t>[Threaded comment]
Your version of Excel allows you to read this threaded comment; however, any edits to it will get removed if the file is opened in a newer version of Excel. Learn more: https://go.microsoft.com/fwlink/?linkid=870924
Comment:
    ITA, Amazon</t>
      </text>
    </comment>
    <comment ref="P85" authorId="3" shapeId="0" xr:uid="{A635705A-D41F-4D5B-9C3D-9FA73911DF8F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CTA, County C of C</t>
      </text>
    </comment>
  </commentList>
</comments>
</file>

<file path=xl/sharedStrings.xml><?xml version="1.0" encoding="utf-8"?>
<sst xmlns="http://schemas.openxmlformats.org/spreadsheetml/2006/main" count="1199" uniqueCount="330">
  <si>
    <t xml:space="preserve"> </t>
  </si>
  <si>
    <t>Per the meeting with EB, AD, JG and MH</t>
  </si>
  <si>
    <t>FUTA</t>
  </si>
  <si>
    <t>SUTA</t>
  </si>
  <si>
    <t xml:space="preserve">assumes 3% incr. for staff </t>
  </si>
  <si>
    <t>DELIBERATIVE - NOT FOR PUBLIC DISTRIBUTION</t>
  </si>
  <si>
    <t>4% increase</t>
  </si>
  <si>
    <t xml:space="preserve">subject to </t>
  </si>
  <si>
    <t>hourly</t>
  </si>
  <si>
    <t xml:space="preserve">annual </t>
  </si>
  <si>
    <t>calculate 3% increase</t>
  </si>
  <si>
    <t>budgeted</t>
  </si>
  <si>
    <t>current cost</t>
  </si>
  <si>
    <t>open enrollment</t>
  </si>
  <si>
    <t>2020 salary</t>
  </si>
  <si>
    <t>FICA</t>
  </si>
  <si>
    <t>PERF</t>
  </si>
  <si>
    <t>FUTA/SUTA</t>
  </si>
  <si>
    <t>Work Comp</t>
  </si>
  <si>
    <t>insurance</t>
  </si>
  <si>
    <t>total</t>
  </si>
  <si>
    <t>STAFFING TOTALS</t>
  </si>
  <si>
    <t>NEW</t>
  </si>
  <si>
    <t>Execxutive Director on contract</t>
  </si>
  <si>
    <t>FINANCE MANAGER (replaced by KSMC)</t>
  </si>
  <si>
    <t>Jennifer</t>
  </si>
  <si>
    <t>Commuter Connect Manager</t>
  </si>
  <si>
    <t>Annie</t>
  </si>
  <si>
    <t>Mobility Manager</t>
  </si>
  <si>
    <t>Vacant</t>
  </si>
  <si>
    <t>MM Travel Demand Planner</t>
  </si>
  <si>
    <t>Lisa</t>
  </si>
  <si>
    <t>Commuter Connect Outreach rep</t>
  </si>
  <si>
    <t>Andrea (Renee)</t>
  </si>
  <si>
    <t>Heather</t>
  </si>
  <si>
    <t>Desiree Sanks</t>
  </si>
  <si>
    <t>Customer service administrator</t>
  </si>
  <si>
    <t>DA elected Health, Dental, Vision &amp; Life</t>
  </si>
  <si>
    <t>$17/hr</t>
  </si>
  <si>
    <t>salary with</t>
  </si>
  <si>
    <t>.</t>
  </si>
  <si>
    <t>CIRTA Operating</t>
  </si>
  <si>
    <t>salary</t>
  </si>
  <si>
    <t>increase</t>
  </si>
  <si>
    <t>EB will be 85%, 15% Commuter Connect</t>
  </si>
  <si>
    <t>Operating</t>
  </si>
  <si>
    <t>Commuter Connect</t>
  </si>
  <si>
    <t>Renee</t>
  </si>
  <si>
    <t>5307 Grant - Mobility Management</t>
  </si>
  <si>
    <t>Travel Demand Planner</t>
  </si>
  <si>
    <t>MM</t>
  </si>
  <si>
    <t>PMTF Grant</t>
  </si>
  <si>
    <t>Salary Taxes</t>
  </si>
  <si>
    <t>ins</t>
  </si>
  <si>
    <t>Execxutive Director</t>
  </si>
  <si>
    <t>FINANCE MANAGER</t>
  </si>
  <si>
    <t>Andrew</t>
  </si>
  <si>
    <t xml:space="preserve"> Assistant Director - Commuter Connect</t>
  </si>
  <si>
    <t>Phillip</t>
  </si>
  <si>
    <t xml:space="preserve">Commuter Connect Vanpool Coordinator </t>
  </si>
  <si>
    <t>PMTF</t>
  </si>
  <si>
    <t xml:space="preserve">PMTF </t>
  </si>
  <si>
    <t>AD = 80% MM, 10%PMTF, 10% Partner Contributions</t>
  </si>
  <si>
    <t>All operating</t>
  </si>
  <si>
    <t>CC</t>
  </si>
  <si>
    <t>6 month contract with option to renew</t>
  </si>
  <si>
    <t>Communiter Connect Mngr</t>
  </si>
  <si>
    <t>$ 45 - $ 55 Vacant</t>
  </si>
  <si>
    <t>Look at Dec Board mtg</t>
  </si>
  <si>
    <t>CIRTA to be present at Sept board mtg</t>
  </si>
  <si>
    <t>What have we spent for 5307 for 2019?</t>
  </si>
  <si>
    <t>Lisa and Jennifer have new salary</t>
  </si>
  <si>
    <t>Contract to Affirm not to exceed $ 30,000</t>
  </si>
  <si>
    <t>Connect Think - contract will renew in Dec</t>
  </si>
  <si>
    <t>Website - who pays for it?</t>
  </si>
  <si>
    <t xml:space="preserve">Due Sept 25 PMTF - $79,000 </t>
  </si>
  <si>
    <t>reports are calendar</t>
  </si>
  <si>
    <t>postage machine auto renewal on June 4th</t>
  </si>
  <si>
    <t>phones run through data</t>
  </si>
  <si>
    <t xml:space="preserve">Promethius </t>
  </si>
  <si>
    <t>Voice over IPA</t>
  </si>
  <si>
    <t>Rent is $ 1500</t>
  </si>
  <si>
    <t>Copier will be fixed rate - 2000 copies per month in color $ 448.31</t>
  </si>
  <si>
    <t>Xiber - land line phones &amp; Prior Communciations in the new carrier</t>
  </si>
  <si>
    <t>$126.48 were paying annually for Priority Communications - $245 per month</t>
  </si>
  <si>
    <t xml:space="preserve">$59.89 per month for Spectrum for internet </t>
  </si>
  <si>
    <t>Taxes per utility for nonprofit or sp</t>
  </si>
  <si>
    <t xml:space="preserve">329 N Meridian and suite 920 </t>
  </si>
  <si>
    <t xml:space="preserve">Parking reimbursed up to $ 85 </t>
  </si>
  <si>
    <t>AT &amp; T - cell phones charged credit card</t>
  </si>
  <si>
    <t xml:space="preserve">Communuter Connect Van per month </t>
  </si>
  <si>
    <t>Moving expenses - $ 2000</t>
  </si>
  <si>
    <t>Keys to door</t>
  </si>
  <si>
    <t>Cell phones with credit card - AT&amp;T</t>
  </si>
  <si>
    <t>Lisa and Heather will be on vacation for the move</t>
  </si>
  <si>
    <t>Per Bill, ED assume 12 X $10,000</t>
  </si>
  <si>
    <t>Whitestown</t>
  </si>
  <si>
    <t>CMAQ</t>
  </si>
  <si>
    <t xml:space="preserve">MFV </t>
  </si>
  <si>
    <t>PI</t>
  </si>
  <si>
    <t>10% Grant revenue for operating</t>
  </si>
  <si>
    <t>ACTUAL FROM JANUARY 1 - AUGUST 31, 2019</t>
  </si>
  <si>
    <t>N Plainfield EID</t>
  </si>
  <si>
    <t>S Plainfield</t>
  </si>
  <si>
    <t>Columbus</t>
  </si>
  <si>
    <t>Public Involvement</t>
  </si>
  <si>
    <t>TOTAL</t>
  </si>
  <si>
    <t>GL AC #</t>
  </si>
  <si>
    <t>REVENUE</t>
  </si>
  <si>
    <t>GRANTS REVENUE</t>
  </si>
  <si>
    <t xml:space="preserve">10% Grant Revenue for Indirect </t>
  </si>
  <si>
    <t>Social Services Block Grant</t>
  </si>
  <si>
    <t>Allocate the remaining amount of PMTF</t>
  </si>
  <si>
    <t>CONTRIBUTIONS REVENUE</t>
  </si>
  <si>
    <t>REIMBURSEMENT FOR SERVICES</t>
  </si>
  <si>
    <t>MISCELLANEOUS REVENUE</t>
  </si>
  <si>
    <t>TOTAL REVENUE</t>
  </si>
  <si>
    <t>EXPENSES</t>
  </si>
  <si>
    <t xml:space="preserve">SALARIES </t>
  </si>
  <si>
    <t>INTERNS</t>
  </si>
  <si>
    <t>UNEMPLOYMENT TAXES</t>
  </si>
  <si>
    <t>GROUP INSURANCE</t>
  </si>
  <si>
    <t>PERF AND PENSION CONTRIBUTION</t>
  </si>
  <si>
    <t>WORKER'S COMPENSATION</t>
  </si>
  <si>
    <t>TOTAL PERSONNEL EXPENSES</t>
  </si>
  <si>
    <t>LEGAL FEES</t>
  </si>
  <si>
    <t>AUDIT FEES</t>
  </si>
  <si>
    <t>PUBLIC RELATIONS</t>
  </si>
  <si>
    <t>PUBLIC AFFAIRS</t>
  </si>
  <si>
    <t>PAYROLL POA</t>
  </si>
  <si>
    <t xml:space="preserve">CONSULTING </t>
  </si>
  <si>
    <t>INFORMATION TECHNOLOGY SERVICES</t>
  </si>
  <si>
    <t>WEBSITE MAINTENANCE</t>
  </si>
  <si>
    <t xml:space="preserve">ERH SERVICES -  Emergency ride home </t>
  </si>
  <si>
    <t>SUBSIDIES - Van pool</t>
  </si>
  <si>
    <t>COMMUTER SERVICES - Connectors</t>
  </si>
  <si>
    <t>OTHER CONTRACTED SERVICES - CICOA</t>
  </si>
  <si>
    <t>TOTAL CONTRACTED SERVICES</t>
  </si>
  <si>
    <t>OFFICE SUPPLIES</t>
  </si>
  <si>
    <t>OFFICE EXPENSES</t>
  </si>
  <si>
    <t xml:space="preserve">TELEPHONE  </t>
  </si>
  <si>
    <t>POSTAGE/SHIPPING</t>
  </si>
  <si>
    <t>INSURANCE - Bonding and D&amp;O</t>
  </si>
  <si>
    <t>PRINTING, COPYING, &amp; PUBLICATIONS</t>
  </si>
  <si>
    <t>ADVERTISING</t>
  </si>
  <si>
    <t xml:space="preserve">MARKETING EXPENSE </t>
  </si>
  <si>
    <t>TOTAL OTHER SERVICES and CHARGES</t>
  </si>
  <si>
    <t>OFFICE FURNITURE/EQUIPMENT &lt; $1,000</t>
  </si>
  <si>
    <t>COMPUTER EQUIPMENT &lt; $1,000</t>
  </si>
  <si>
    <t>OFFICE EQUIPMENT LEASE</t>
  </si>
  <si>
    <t>RENT</t>
  </si>
  <si>
    <t>PARKING</t>
  </si>
  <si>
    <t>MISCELLANEOUS</t>
  </si>
  <si>
    <t>TOTAL FACILITIES and EQUIPMENT</t>
  </si>
  <si>
    <t>TRAVEL - Includes meals, hotel &amp; transportation</t>
  </si>
  <si>
    <t>FUEL EXPENSE</t>
  </si>
  <si>
    <t>MILEAGE</t>
  </si>
  <si>
    <t>MEALS - In town</t>
  </si>
  <si>
    <t>STAFF EXPENSE - Logo clothing</t>
  </si>
  <si>
    <t>STAFF DEVELOPMENT</t>
  </si>
  <si>
    <t xml:space="preserve">BOARD/COMMITTEE MEETINGS </t>
  </si>
  <si>
    <t>CONFERENCE EXPENSES</t>
  </si>
  <si>
    <t>CONFERENCE BOOTH</t>
  </si>
  <si>
    <t>TOTAL TRAVEL and MEETINGS</t>
  </si>
  <si>
    <t>MEMBERSHIP DUES</t>
  </si>
  <si>
    <t>SUBSCRIPTIONS</t>
  </si>
  <si>
    <t>TOTAL  DUES/M'SHIP EXPENSES</t>
  </si>
  <si>
    <t>TOTAL EXPENSES</t>
  </si>
  <si>
    <t>NET REVENUE IN EXCESS OF EXPENSES</t>
  </si>
  <si>
    <t>2021 salary</t>
  </si>
  <si>
    <t>Jennifer Gebhard</t>
  </si>
  <si>
    <t>Spencer Valentine</t>
  </si>
  <si>
    <t>Deandre Rhodes</t>
  </si>
  <si>
    <t>Molly Oliver</t>
  </si>
  <si>
    <t>Lisa Bailey</t>
  </si>
  <si>
    <t xml:space="preserve">Vanpool Coordinator </t>
  </si>
  <si>
    <t>Mobility Management Manager</t>
  </si>
  <si>
    <t xml:space="preserve">Customer service administrator/Office Manager </t>
  </si>
  <si>
    <t xml:space="preserve">Commuter Connect Outreach Representative </t>
  </si>
  <si>
    <t>Admin Fee</t>
  </si>
  <si>
    <t>Execxutive Director starts in October 2020</t>
  </si>
  <si>
    <t xml:space="preserve">Insurance </t>
  </si>
  <si>
    <t>APPROVED 2020 BUDGET</t>
  </si>
  <si>
    <t xml:space="preserve"> PROPOSED 2021 BUDGET</t>
  </si>
  <si>
    <t xml:space="preserve">                  </t>
  </si>
  <si>
    <t>2019 5307</t>
  </si>
  <si>
    <t>2020 5307</t>
  </si>
  <si>
    <t>MFV</t>
  </si>
  <si>
    <t>ACTUAL FROM JANUARY 1 - July 31, 2020</t>
  </si>
  <si>
    <t>Regional Technology</t>
  </si>
  <si>
    <t>Regional Integrated Opportunity</t>
  </si>
  <si>
    <t>Fare Loss</t>
  </si>
  <si>
    <t>Workforce Connector Operating</t>
  </si>
  <si>
    <t>2016-2019 CMAQ - balance at July 2020</t>
  </si>
  <si>
    <t>2020 CMAQ - 3 years</t>
  </si>
  <si>
    <t xml:space="preserve">remain the same </t>
  </si>
  <si>
    <t xml:space="preserve">an attest, 2 audits, FTA </t>
  </si>
  <si>
    <t xml:space="preserve">Rich Coch </t>
  </si>
  <si>
    <t>PUBLIC AFFAIRS (legisltative services)</t>
  </si>
  <si>
    <t>PR = Jen Thomas $4000 per month</t>
  </si>
  <si>
    <t>5600 POA 7 EE</t>
  </si>
  <si>
    <t xml:space="preserve">SVK consulting </t>
  </si>
  <si>
    <t xml:space="preserve">CONSULTING - Finance Services, SVK and MIP </t>
  </si>
  <si>
    <t>INFORMATION TECHNOLOGY SERVICES &amp; webiste Services</t>
  </si>
  <si>
    <t>N. Plainfield</t>
  </si>
  <si>
    <t xml:space="preserve">S. Plainfield </t>
  </si>
  <si>
    <t>can't eceed $ 65,000</t>
  </si>
  <si>
    <t>$15,000 per quarter</t>
  </si>
  <si>
    <t>Cares ACT (when is the experication date)</t>
  </si>
  <si>
    <t>Whitestown (Amazon MOU) beginning in March 2020</t>
  </si>
  <si>
    <t xml:space="preserve">WEBSITE MAINTENANCE (data base for commuter connect) </t>
  </si>
  <si>
    <t>$2500 per month &amp; 5% increase</t>
  </si>
  <si>
    <t xml:space="preserve">webiste maintenance </t>
  </si>
  <si>
    <t>$4000 per Jen</t>
  </si>
  <si>
    <t>7 vans operating - keep it the same</t>
  </si>
  <si>
    <t xml:space="preserve">reduce 2 line </t>
  </si>
  <si>
    <t>internet Spectrum $ 90/month; VOP $345/month/$440 per month</t>
  </si>
  <si>
    <t>$900 GL/ D&amp;O</t>
  </si>
  <si>
    <t>$3000 for Jen; $ 1800</t>
  </si>
  <si>
    <t>1 year left on the contract with Affirm</t>
  </si>
  <si>
    <t>Look at MIP for these 2 accounts</t>
  </si>
  <si>
    <t>$1539 per month</t>
  </si>
  <si>
    <t>$85 * 7EE $1920 for communter van</t>
  </si>
  <si>
    <t>$1200 gas for the VAN</t>
  </si>
  <si>
    <t>$4500 for Jen's team</t>
  </si>
  <si>
    <t>ACT conference $ 3000</t>
  </si>
  <si>
    <t>$2700 for Act Team and Chamber m'shipds; $ 5000 for MPO dues; APTA $400</t>
  </si>
  <si>
    <t xml:space="preserve">Adobe, IBJ and </t>
  </si>
  <si>
    <t xml:space="preserve">MAP line $ 200/month for Van Pool/$15 for Zoom, </t>
  </si>
  <si>
    <t xml:space="preserve">CC van starts up - $300 per van; 15 vans @ $300 </t>
  </si>
  <si>
    <t>Misc. trach pick-up $ 68 Connector stop</t>
  </si>
  <si>
    <t xml:space="preserve">$/400 for checks for bank </t>
  </si>
  <si>
    <t>IBV $25 for advertiing - 2-3 per year</t>
  </si>
  <si>
    <t>USE office expense</t>
  </si>
  <si>
    <t>Royal</t>
  </si>
  <si>
    <t>Miller</t>
  </si>
  <si>
    <t xml:space="preserve">S Plainfield </t>
  </si>
  <si>
    <t>CICOA</t>
  </si>
  <si>
    <t>Enterprise</t>
  </si>
  <si>
    <t>N Plainfield</t>
  </si>
  <si>
    <t>Total Expenses</t>
  </si>
  <si>
    <t>North Plainfield</t>
  </si>
  <si>
    <t>Expenses</t>
  </si>
  <si>
    <t>April</t>
  </si>
  <si>
    <t>May</t>
  </si>
  <si>
    <t>June</t>
  </si>
  <si>
    <t>Total</t>
  </si>
  <si>
    <t>South Plainfield</t>
  </si>
  <si>
    <t>GROSS</t>
  </si>
  <si>
    <t>FARES</t>
  </si>
  <si>
    <t>Note: gross and fares not on our books</t>
  </si>
  <si>
    <t>Gross</t>
  </si>
  <si>
    <t>Fares</t>
  </si>
  <si>
    <t>Net</t>
  </si>
  <si>
    <t>Overhead (10%)</t>
  </si>
  <si>
    <t>Overhead</t>
  </si>
  <si>
    <t>Revenues</t>
  </si>
  <si>
    <t>North Plainfield EID (90%)</t>
  </si>
  <si>
    <t>South Plainfield EID (90%)</t>
  </si>
  <si>
    <t>LOCAL</t>
  </si>
  <si>
    <t>OVERHEAD</t>
  </si>
  <si>
    <t>PMTF (10%)</t>
  </si>
  <si>
    <t>EID/city</t>
  </si>
  <si>
    <t>Social Service</t>
  </si>
  <si>
    <t>Amazon</t>
  </si>
  <si>
    <t>Local</t>
  </si>
  <si>
    <t xml:space="preserve">My Freedom </t>
  </si>
  <si>
    <t>Mobility Management</t>
  </si>
  <si>
    <t>Vouchers</t>
  </si>
  <si>
    <t>Payroll</t>
  </si>
  <si>
    <t>variance</t>
  </si>
  <si>
    <t>Section 5307 (80%)</t>
  </si>
  <si>
    <t>Local funds (10%)</t>
  </si>
  <si>
    <t>Not on our books:</t>
  </si>
  <si>
    <t>Social Services Block Grant (25% of net)</t>
  </si>
  <si>
    <t>Section 5307 (50% of total)</t>
  </si>
  <si>
    <t>PMTF (remainder)</t>
  </si>
  <si>
    <t xml:space="preserve">MM payroll </t>
  </si>
  <si>
    <t>GRANTS REVENUE - CMAQ</t>
  </si>
  <si>
    <t>GRANTS REVENUE - 5307</t>
  </si>
  <si>
    <t>APP Developer</t>
  </si>
  <si>
    <t>TripSpark</t>
  </si>
  <si>
    <t>Ridepro website</t>
  </si>
  <si>
    <t>Phone bill</t>
  </si>
  <si>
    <t xml:space="preserve">ATT </t>
  </si>
  <si>
    <t>Priority Communications</t>
  </si>
  <si>
    <t>ADVERTISING - Media buy</t>
  </si>
  <si>
    <t>Chamber of Commerce</t>
  </si>
  <si>
    <t>Act</t>
  </si>
  <si>
    <t>MPO</t>
  </si>
  <si>
    <t>APTA</t>
  </si>
  <si>
    <t>Subscriptions</t>
  </si>
  <si>
    <t>Zoom</t>
  </si>
  <si>
    <t>Go Daddy</t>
  </si>
  <si>
    <t>SAM registration</t>
  </si>
  <si>
    <t>Linked in</t>
  </si>
  <si>
    <t>Adobe</t>
  </si>
  <si>
    <t>Spectrum</t>
  </si>
  <si>
    <t>IBJ</t>
  </si>
  <si>
    <t>Survey Monkey</t>
  </si>
  <si>
    <t>Operational Workforce Connectors</t>
  </si>
  <si>
    <t>CC echo draws</t>
  </si>
  <si>
    <t>MM Echo Draws</t>
  </si>
  <si>
    <t>5307 pays for 50%</t>
  </si>
  <si>
    <t>Grant Reimbursement</t>
  </si>
  <si>
    <t>My Freedom Vouchers</t>
  </si>
  <si>
    <t>Commuter Connect/CMAQ</t>
  </si>
  <si>
    <t>2019 Actual</t>
  </si>
  <si>
    <t>Projected Actual for 2020</t>
  </si>
  <si>
    <t>2020 Actual Jan-Aug 2020</t>
  </si>
  <si>
    <t>Grant Award Boxes</t>
  </si>
  <si>
    <t>Interest Income</t>
  </si>
  <si>
    <t>LEGISLATIVE SERVICES</t>
  </si>
  <si>
    <t xml:space="preserve">PRINTER LEASE </t>
  </si>
  <si>
    <t>COMMUTER CONNECT DATABASE</t>
  </si>
  <si>
    <t xml:space="preserve">MARKETING MATERIALS </t>
  </si>
  <si>
    <t>PRINTED MATERIALS</t>
  </si>
  <si>
    <t>phone</t>
  </si>
  <si>
    <t>Landline</t>
  </si>
  <si>
    <t>MFV Remaining balance</t>
  </si>
  <si>
    <t>(Originally, it was for Whitestown, it will need to be repurposed)</t>
  </si>
  <si>
    <t>(The balance will be spent in the next 2 months)</t>
  </si>
  <si>
    <t>($40,000 - $50,000 will be spent in 2021)</t>
  </si>
  <si>
    <t>(All of the MM funds will be spent in 2021)</t>
  </si>
  <si>
    <t>($10,000 - $20,000 may be used in 2021)</t>
  </si>
  <si>
    <t>(The 2016 grant funds will be spent by Dec. 31. 2020)</t>
  </si>
  <si>
    <t>CMAQ- availabe in 2024</t>
  </si>
  <si>
    <t>CMAQ - available until 2025</t>
  </si>
  <si>
    <t>ACTUAL FROM January 1, 2020 - November 30, 2020</t>
  </si>
  <si>
    <t>Check 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</si>
</sst>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#,##0;[Red]#,##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3366FF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2"/>
      <color theme="0" tint="-0.499984740745262"/>
      <name val="Arial"/>
      <family val="2"/>
    </font>
    <font>
      <b/>
      <sz val="12"/>
      <color theme="0" tint="-0.499984740745262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b/>
      <u val="singleAccounting"/>
      <sz val="11"/>
      <color rgb="FF9C6500"/>
      <name val="Arial"/>
      <family val="2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B8E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12" borderId="0" applyNumberFormat="0" applyBorder="0" applyAlignment="0" applyProtection="0"/>
  </cellStyleXfs>
  <cellXfs count="549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0" fillId="2" borderId="0" xfId="0" applyFill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7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3" borderId="0" xfId="0" applyFont="1" applyFill="1"/>
    <xf numFmtId="166" fontId="0" fillId="0" borderId="0" xfId="1" applyNumberFormat="1" applyFont="1"/>
    <xf numFmtId="166" fontId="3" fillId="0" borderId="0" xfId="1" applyNumberFormat="1" applyFont="1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9" fontId="3" fillId="3" borderId="0" xfId="0" applyNumberFormat="1" applyFont="1" applyFill="1" applyAlignment="1">
      <alignment horizontal="center"/>
    </xf>
    <xf numFmtId="0" fontId="0" fillId="3" borderId="0" xfId="0" applyFill="1"/>
    <xf numFmtId="10" fontId="0" fillId="3" borderId="0" xfId="0" applyNumberFormat="1" applyFill="1"/>
    <xf numFmtId="0" fontId="13" fillId="4" borderId="0" xfId="0" applyFont="1" applyFill="1" applyAlignment="1">
      <alignment horizontal="center"/>
    </xf>
    <xf numFmtId="17" fontId="0" fillId="0" borderId="1" xfId="0" applyNumberFormat="1" applyBorder="1" applyAlignment="1">
      <alignment horizontal="center"/>
    </xf>
    <xf numFmtId="166" fontId="3" fillId="3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167" fontId="0" fillId="0" borderId="0" xfId="0" applyNumberFormat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6" fontId="10" fillId="0" borderId="0" xfId="0" applyNumberFormat="1" applyFont="1"/>
    <xf numFmtId="167" fontId="10" fillId="0" borderId="0" xfId="1" applyNumberFormat="1" applyFont="1" applyFill="1" applyAlignment="1">
      <alignment horizontal="center"/>
    </xf>
    <xf numFmtId="6" fontId="10" fillId="0" borderId="0" xfId="1" applyNumberFormat="1" applyFont="1" applyFill="1"/>
    <xf numFmtId="6" fontId="14" fillId="3" borderId="0" xfId="1" applyNumberFormat="1" applyFont="1" applyFill="1" applyAlignment="1">
      <alignment horizontal="center"/>
    </xf>
    <xf numFmtId="6" fontId="14" fillId="3" borderId="0" xfId="1" applyNumberFormat="1" applyFont="1" applyFill="1"/>
    <xf numFmtId="6" fontId="10" fillId="4" borderId="0" xfId="1" applyNumberFormat="1" applyFont="1" applyFill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/>
    <xf numFmtId="0" fontId="15" fillId="0" borderId="0" xfId="0" applyFont="1"/>
    <xf numFmtId="0" fontId="10" fillId="0" borderId="0" xfId="0" applyFont="1" applyAlignment="1">
      <alignment horizontal="left"/>
    </xf>
    <xf numFmtId="0" fontId="16" fillId="0" borderId="0" xfId="0" applyFont="1"/>
    <xf numFmtId="6" fontId="0" fillId="0" borderId="0" xfId="0" applyNumberFormat="1"/>
    <xf numFmtId="6" fontId="3" fillId="3" borderId="0" xfId="1" applyNumberFormat="1" applyFont="1" applyFill="1"/>
    <xf numFmtId="6" fontId="0" fillId="4" borderId="0" xfId="1" applyNumberFormat="1" applyFont="1" applyFill="1" applyAlignment="1">
      <alignment horizontal="center"/>
    </xf>
    <xf numFmtId="9" fontId="0" fillId="0" borderId="0" xfId="0" applyNumberFormat="1" applyAlignment="1">
      <alignment horizontal="center"/>
    </xf>
    <xf numFmtId="9" fontId="6" fillId="0" borderId="0" xfId="0" applyNumberFormat="1" applyFont="1"/>
    <xf numFmtId="0" fontId="16" fillId="0" borderId="0" xfId="0" applyFont="1" applyAlignment="1">
      <alignment wrapText="1"/>
    </xf>
    <xf numFmtId="167" fontId="0" fillId="0" borderId="0" xfId="1" applyNumberFormat="1" applyFont="1" applyAlignment="1">
      <alignment horizontal="center"/>
    </xf>
    <xf numFmtId="6" fontId="0" fillId="0" borderId="0" xfId="1" applyNumberFormat="1" applyFont="1"/>
    <xf numFmtId="6" fontId="3" fillId="3" borderId="0" xfId="1" applyNumberFormat="1" applyFont="1" applyFill="1" applyAlignment="1">
      <alignment horizontal="center"/>
    </xf>
    <xf numFmtId="6" fontId="0" fillId="4" borderId="0" xfId="1" applyNumberFormat="1" applyFont="1" applyFill="1" applyAlignment="1"/>
    <xf numFmtId="166" fontId="0" fillId="0" borderId="0" xfId="0" applyNumberFormat="1"/>
    <xf numFmtId="6" fontId="0" fillId="0" borderId="2" xfId="1" applyNumberFormat="1" applyFont="1" applyBorder="1"/>
    <xf numFmtId="167" fontId="0" fillId="0" borderId="2" xfId="1" applyNumberFormat="1" applyFont="1" applyBorder="1" applyAlignment="1">
      <alignment horizontal="center"/>
    </xf>
    <xf numFmtId="6" fontId="0" fillId="3" borderId="2" xfId="1" applyNumberFormat="1" applyFont="1" applyFill="1" applyBorder="1"/>
    <xf numFmtId="6" fontId="0" fillId="4" borderId="2" xfId="1" applyNumberFormat="1" applyFont="1" applyFill="1" applyBorder="1" applyAlignment="1">
      <alignment horizontal="center"/>
    </xf>
    <xf numFmtId="6" fontId="0" fillId="3" borderId="2" xfId="1" applyNumberFormat="1" applyFont="1" applyFill="1" applyBorder="1" applyAlignment="1">
      <alignment horizontal="center"/>
    </xf>
    <xf numFmtId="10" fontId="0" fillId="0" borderId="0" xfId="3" applyNumberFormat="1" applyFont="1"/>
    <xf numFmtId="166" fontId="5" fillId="0" borderId="0" xfId="1" applyNumberFormat="1" applyFont="1"/>
    <xf numFmtId="43" fontId="0" fillId="0" borderId="0" xfId="1" applyFont="1"/>
    <xf numFmtId="9" fontId="3" fillId="0" borderId="0" xfId="3" applyFont="1" applyAlignment="1">
      <alignment horizontal="center"/>
    </xf>
    <xf numFmtId="0" fontId="3" fillId="4" borderId="0" xfId="0" applyFont="1" applyFill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5" fontId="10" fillId="0" borderId="0" xfId="1" applyNumberFormat="1" applyFont="1" applyFill="1" applyAlignment="1">
      <alignment horizontal="center"/>
    </xf>
    <xf numFmtId="166" fontId="10" fillId="0" borderId="0" xfId="1" applyNumberFormat="1" applyFont="1" applyFill="1"/>
    <xf numFmtId="5" fontId="10" fillId="0" borderId="0" xfId="1" applyNumberFormat="1" applyFont="1" applyFill="1"/>
    <xf numFmtId="5" fontId="14" fillId="0" borderId="0" xfId="1" applyNumberFormat="1" applyFont="1" applyFill="1" applyAlignment="1">
      <alignment horizontal="center"/>
    </xf>
    <xf numFmtId="9" fontId="4" fillId="0" borderId="0" xfId="0" applyNumberFormat="1" applyFont="1" applyAlignment="1">
      <alignment horizontal="center"/>
    </xf>
    <xf numFmtId="9" fontId="4" fillId="0" borderId="0" xfId="0" applyNumberFormat="1" applyFont="1"/>
    <xf numFmtId="5" fontId="10" fillId="0" borderId="2" xfId="1" applyNumberFormat="1" applyFont="1" applyBorder="1" applyAlignment="1">
      <alignment horizontal="center"/>
    </xf>
    <xf numFmtId="166" fontId="10" fillId="0" borderId="2" xfId="1" applyNumberFormat="1" applyFont="1" applyBorder="1"/>
    <xf numFmtId="5" fontId="14" fillId="0" borderId="2" xfId="1" applyNumberFormat="1" applyFont="1" applyBorder="1" applyAlignment="1">
      <alignment horizontal="center"/>
    </xf>
    <xf numFmtId="5" fontId="10" fillId="0" borderId="2" xfId="1" applyNumberFormat="1" applyFont="1" applyBorder="1"/>
    <xf numFmtId="166" fontId="0" fillId="0" borderId="0" xfId="1" applyNumberFormat="1" applyFont="1" applyBorder="1"/>
    <xf numFmtId="166" fontId="3" fillId="0" borderId="0" xfId="1" applyNumberFormat="1" applyFont="1" applyBorder="1" applyAlignment="1">
      <alignment horizontal="center"/>
    </xf>
    <xf numFmtId="166" fontId="5" fillId="0" borderId="0" xfId="1" applyNumberFormat="1" applyFont="1" applyBorder="1"/>
    <xf numFmtId="0" fontId="0" fillId="0" borderId="0" xfId="0" applyAlignment="1">
      <alignment horizontal="left"/>
    </xf>
    <xf numFmtId="6" fontId="0" fillId="0" borderId="0" xfId="1" applyNumberFormat="1" applyFont="1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6" fontId="3" fillId="0" borderId="0" xfId="1" applyNumberFormat="1" applyFont="1" applyBorder="1" applyAlignment="1">
      <alignment horizontal="center"/>
    </xf>
    <xf numFmtId="5" fontId="0" fillId="0" borderId="0" xfId="1" applyNumberFormat="1" applyFont="1"/>
    <xf numFmtId="6" fontId="10" fillId="0" borderId="0" xfId="0" applyNumberFormat="1" applyFont="1" applyAlignment="1">
      <alignment wrapText="1"/>
    </xf>
    <xf numFmtId="6" fontId="13" fillId="0" borderId="0" xfId="0" applyNumberFormat="1" applyFont="1"/>
    <xf numFmtId="0" fontId="13" fillId="0" borderId="0" xfId="0" applyFont="1" applyAlignment="1">
      <alignment horizontal="center"/>
    </xf>
    <xf numFmtId="6" fontId="0" fillId="0" borderId="0" xfId="1" applyNumberFormat="1" applyFont="1" applyAlignment="1"/>
    <xf numFmtId="6" fontId="10" fillId="0" borderId="0" xfId="1" applyNumberFormat="1" applyFont="1" applyFill="1" applyAlignment="1">
      <alignment horizontal="center"/>
    </xf>
    <xf numFmtId="5" fontId="0" fillId="0" borderId="0" xfId="1" applyNumberFormat="1" applyFont="1" applyFill="1"/>
    <xf numFmtId="6" fontId="10" fillId="0" borderId="0" xfId="1" applyNumberFormat="1" applyFont="1" applyAlignment="1"/>
    <xf numFmtId="6" fontId="0" fillId="0" borderId="0" xfId="1" applyNumberFormat="1" applyFont="1" applyAlignment="1">
      <alignment horizontal="center"/>
    </xf>
    <xf numFmtId="5" fontId="17" fillId="0" borderId="0" xfId="1" applyNumberFormat="1" applyFont="1" applyAlignment="1">
      <alignment horizontal="center"/>
    </xf>
    <xf numFmtId="6" fontId="0" fillId="0" borderId="2" xfId="1" applyNumberFormat="1" applyFont="1" applyBorder="1" applyAlignment="1">
      <alignment horizontal="center"/>
    </xf>
    <xf numFmtId="5" fontId="0" fillId="0" borderId="2" xfId="1" applyNumberFormat="1" applyFont="1" applyBorder="1"/>
    <xf numFmtId="6" fontId="3" fillId="0" borderId="2" xfId="1" applyNumberFormat="1" applyFont="1" applyBorder="1" applyAlignment="1">
      <alignment horizontal="center"/>
    </xf>
    <xf numFmtId="6" fontId="0" fillId="0" borderId="2" xfId="1" applyNumberFormat="1" applyFont="1" applyBorder="1" applyAlignment="1"/>
    <xf numFmtId="6" fontId="10" fillId="0" borderId="2" xfId="1" applyNumberFormat="1" applyFont="1" applyBorder="1" applyAlignment="1"/>
    <xf numFmtId="5" fontId="0" fillId="0" borderId="0" xfId="1" applyNumberFormat="1" applyFont="1" applyBorder="1"/>
    <xf numFmtId="6" fontId="0" fillId="0" borderId="0" xfId="1" applyNumberFormat="1" applyFont="1" applyBorder="1"/>
    <xf numFmtId="6" fontId="0" fillId="0" borderId="0" xfId="1" applyNumberFormat="1" applyFont="1" applyBorder="1" applyAlignment="1"/>
    <xf numFmtId="6" fontId="10" fillId="0" borderId="0" xfId="1" applyNumberFormat="1" applyFont="1" applyBorder="1" applyAlignment="1"/>
    <xf numFmtId="5" fontId="14" fillId="0" borderId="0" xfId="1" applyNumberFormat="1" applyFont="1" applyAlignment="1">
      <alignment horizontal="center"/>
    </xf>
    <xf numFmtId="5" fontId="10" fillId="0" borderId="0" xfId="1" applyNumberFormat="1" applyFont="1" applyAlignment="1">
      <alignment horizontal="center"/>
    </xf>
    <xf numFmtId="5" fontId="0" fillId="0" borderId="2" xfId="1" applyNumberFormat="1" applyFont="1" applyBorder="1" applyAlignment="1">
      <alignment horizontal="center"/>
    </xf>
    <xf numFmtId="5" fontId="3" fillId="0" borderId="2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6" borderId="0" xfId="0" applyFont="1" applyFill="1"/>
    <xf numFmtId="166" fontId="4" fillId="6" borderId="0" xfId="1" applyNumberFormat="1" applyFont="1" applyFill="1"/>
    <xf numFmtId="166" fontId="2" fillId="6" borderId="0" xfId="1" applyNumberFormat="1" applyFont="1" applyFill="1" applyAlignment="1">
      <alignment horizontal="center"/>
    </xf>
    <xf numFmtId="166" fontId="4" fillId="6" borderId="0" xfId="1" applyNumberFormat="1" applyFont="1" applyFill="1" applyAlignment="1">
      <alignment horizontal="center"/>
    </xf>
    <xf numFmtId="9" fontId="4" fillId="6" borderId="0" xfId="0" applyNumberFormat="1" applyFont="1" applyFill="1" applyAlignment="1">
      <alignment horizontal="center"/>
    </xf>
    <xf numFmtId="9" fontId="4" fillId="6" borderId="0" xfId="0" applyNumberFormat="1" applyFont="1" applyFill="1"/>
    <xf numFmtId="0" fontId="4" fillId="7" borderId="0" xfId="0" applyFont="1" applyFill="1" applyAlignment="1">
      <alignment horizontal="center"/>
    </xf>
    <xf numFmtId="0" fontId="4" fillId="7" borderId="0" xfId="0" applyFont="1" applyFill="1"/>
    <xf numFmtId="166" fontId="4" fillId="7" borderId="0" xfId="1" applyNumberFormat="1" applyFont="1" applyFill="1"/>
    <xf numFmtId="166" fontId="2" fillId="7" borderId="0" xfId="1" applyNumberFormat="1" applyFont="1" applyFill="1" applyAlignment="1">
      <alignment horizontal="center"/>
    </xf>
    <xf numFmtId="9" fontId="4" fillId="7" borderId="0" xfId="0" applyNumberFormat="1" applyFont="1" applyFill="1" applyAlignment="1">
      <alignment horizontal="center"/>
    </xf>
    <xf numFmtId="9" fontId="4" fillId="7" borderId="0" xfId="0" applyNumberFormat="1" applyFont="1" applyFill="1"/>
    <xf numFmtId="166" fontId="17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166" fontId="0" fillId="8" borderId="0" xfId="1" applyNumberFormat="1" applyFont="1" applyFill="1"/>
    <xf numFmtId="166" fontId="10" fillId="0" borderId="0" xfId="1" applyNumberFormat="1" applyFont="1" applyAlignment="1">
      <alignment horizontal="center"/>
    </xf>
    <xf numFmtId="166" fontId="10" fillId="0" borderId="0" xfId="1" applyNumberFormat="1" applyFont="1"/>
    <xf numFmtId="166" fontId="0" fillId="0" borderId="2" xfId="1" applyNumberFormat="1" applyFont="1" applyBorder="1"/>
    <xf numFmtId="166" fontId="3" fillId="0" borderId="2" xfId="1" applyNumberFormat="1" applyFont="1" applyBorder="1" applyAlignment="1">
      <alignment horizontal="center"/>
    </xf>
    <xf numFmtId="166" fontId="5" fillId="0" borderId="2" xfId="1" applyNumberFormat="1" applyFont="1" applyBorder="1"/>
    <xf numFmtId="9" fontId="0" fillId="0" borderId="0" xfId="1" applyNumberFormat="1" applyFont="1" applyBorder="1"/>
    <xf numFmtId="166" fontId="0" fillId="0" borderId="1" xfId="1" applyNumberFormat="1" applyFont="1" applyBorder="1"/>
    <xf numFmtId="166" fontId="5" fillId="0" borderId="1" xfId="1" applyNumberFormat="1" applyFont="1" applyBorder="1"/>
    <xf numFmtId="10" fontId="1" fillId="0" borderId="0" xfId="1" applyNumberFormat="1" applyFont="1" applyBorder="1" applyAlignment="1"/>
    <xf numFmtId="10" fontId="1" fillId="0" borderId="0" xfId="1" applyNumberFormat="1" applyFont="1" applyAlignment="1"/>
    <xf numFmtId="10" fontId="1" fillId="0" borderId="1" xfId="1" applyNumberFormat="1" applyFont="1" applyBorder="1" applyAlignment="1"/>
    <xf numFmtId="10" fontId="0" fillId="0" borderId="0" xfId="1" applyNumberFormat="1" applyFont="1"/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9" fontId="19" fillId="0" borderId="0" xfId="0" applyNumberFormat="1" applyFont="1"/>
    <xf numFmtId="6" fontId="19" fillId="0" borderId="0" xfId="0" applyNumberFormat="1" applyFont="1"/>
    <xf numFmtId="6" fontId="0" fillId="0" borderId="1" xfId="0" applyNumberFormat="1" applyBorder="1"/>
    <xf numFmtId="9" fontId="19" fillId="0" borderId="1" xfId="0" applyNumberFormat="1" applyFont="1" applyBorder="1"/>
    <xf numFmtId="6" fontId="19" fillId="0" borderId="1" xfId="0" applyNumberFormat="1" applyFont="1" applyBorder="1"/>
    <xf numFmtId="6" fontId="0" fillId="0" borderId="2" xfId="0" applyNumberFormat="1" applyBorder="1"/>
    <xf numFmtId="0" fontId="18" fillId="0" borderId="0" xfId="0" applyFont="1" applyAlignment="1">
      <alignment horizontal="center" wrapText="1"/>
    </xf>
    <xf numFmtId="168" fontId="20" fillId="0" borderId="1" xfId="2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8" fontId="20" fillId="3" borderId="1" xfId="2" applyNumberFormat="1" applyFont="1" applyFill="1" applyBorder="1" applyAlignment="1">
      <alignment horizontal="center" vertical="center" wrapText="1"/>
    </xf>
    <xf numFmtId="168" fontId="20" fillId="0" borderId="1" xfId="2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8" fontId="20" fillId="0" borderId="0" xfId="2" applyNumberFormat="1" applyFont="1" applyFill="1" applyBorder="1" applyAlignment="1">
      <alignment horizontal="center" vertical="center" wrapText="1"/>
    </xf>
    <xf numFmtId="0" fontId="3" fillId="0" borderId="0" xfId="0" applyFont="1"/>
    <xf numFmtId="168" fontId="20" fillId="3" borderId="0" xfId="2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5" fontId="24" fillId="0" borderId="0" xfId="2" applyNumberFormat="1" applyFont="1" applyFill="1" applyBorder="1"/>
    <xf numFmtId="5" fontId="24" fillId="0" borderId="0" xfId="0" applyNumberFormat="1" applyFont="1"/>
    <xf numFmtId="5" fontId="24" fillId="3" borderId="0" xfId="2" applyNumberFormat="1" applyFont="1" applyFill="1" applyBorder="1"/>
    <xf numFmtId="6" fontId="24" fillId="0" borderId="0" xfId="2" applyNumberFormat="1" applyFont="1" applyFill="1" applyBorder="1"/>
    <xf numFmtId="6" fontId="24" fillId="0" borderId="0" xfId="0" applyNumberFormat="1" applyFont="1"/>
    <xf numFmtId="167" fontId="0" fillId="0" borderId="0" xfId="0" applyNumberFormat="1"/>
    <xf numFmtId="38" fontId="24" fillId="0" borderId="0" xfId="2" applyNumberFormat="1" applyFont="1" applyFill="1" applyBorder="1"/>
    <xf numFmtId="38" fontId="24" fillId="0" borderId="0" xfId="0" applyNumberFormat="1" applyFont="1"/>
    <xf numFmtId="38" fontId="24" fillId="3" borderId="0" xfId="2" applyNumberFormat="1" applyFont="1" applyFill="1" applyBorder="1"/>
    <xf numFmtId="37" fontId="24" fillId="0" borderId="0" xfId="0" applyNumberFormat="1" applyFont="1"/>
    <xf numFmtId="37" fontId="24" fillId="0" borderId="0" xfId="2" applyNumberFormat="1" applyFont="1" applyFill="1" applyBorder="1"/>
    <xf numFmtId="38" fontId="0" fillId="0" borderId="0" xfId="0" applyNumberFormat="1"/>
    <xf numFmtId="38" fontId="24" fillId="0" borderId="1" xfId="0" applyNumberFormat="1" applyFont="1" applyBorder="1"/>
    <xf numFmtId="38" fontId="24" fillId="0" borderId="1" xfId="2" applyNumberFormat="1" applyFont="1" applyFill="1" applyBorder="1"/>
    <xf numFmtId="38" fontId="0" fillId="0" borderId="1" xfId="0" applyNumberFormat="1" applyBorder="1"/>
    <xf numFmtId="37" fontId="24" fillId="0" borderId="1" xfId="0" applyNumberFormat="1" applyFont="1" applyBorder="1"/>
    <xf numFmtId="5" fontId="0" fillId="0" borderId="1" xfId="0" applyNumberFormat="1" applyBorder="1"/>
    <xf numFmtId="0" fontId="21" fillId="0" borderId="0" xfId="0" applyFont="1" applyAlignment="1">
      <alignment horizontal="right"/>
    </xf>
    <xf numFmtId="5" fontId="21" fillId="0" borderId="2" xfId="2" applyNumberFormat="1" applyFont="1" applyFill="1" applyBorder="1"/>
    <xf numFmtId="5" fontId="20" fillId="0" borderId="2" xfId="0" applyNumberFormat="1" applyFont="1" applyBorder="1"/>
    <xf numFmtId="5" fontId="21" fillId="3" borderId="2" xfId="2" applyNumberFormat="1" applyFont="1" applyFill="1" applyBorder="1"/>
    <xf numFmtId="6" fontId="21" fillId="0" borderId="2" xfId="2" applyNumberFormat="1" applyFont="1" applyFill="1" applyBorder="1"/>
    <xf numFmtId="37" fontId="20" fillId="0" borderId="0" xfId="2" applyNumberFormat="1" applyFont="1" applyFill="1" applyBorder="1"/>
    <xf numFmtId="37" fontId="0" fillId="0" borderId="0" xfId="0" applyNumberFormat="1"/>
    <xf numFmtId="37" fontId="20" fillId="3" borderId="0" xfId="2" applyNumberFormat="1" applyFont="1" applyFill="1" applyBorder="1"/>
    <xf numFmtId="5" fontId="0" fillId="0" borderId="0" xfId="0" applyNumberFormat="1"/>
    <xf numFmtId="0" fontId="25" fillId="0" borderId="0" xfId="0" applyFont="1"/>
    <xf numFmtId="6" fontId="24" fillId="0" borderId="1" xfId="0" applyNumberFormat="1" applyFont="1" applyBorder="1"/>
    <xf numFmtId="0" fontId="26" fillId="0" borderId="0" xfId="0" applyFont="1"/>
    <xf numFmtId="5" fontId="25" fillId="0" borderId="3" xfId="2" applyNumberFormat="1" applyFont="1" applyFill="1" applyBorder="1"/>
    <xf numFmtId="5" fontId="24" fillId="0" borderId="3" xfId="0" applyNumberFormat="1" applyFont="1" applyBorder="1"/>
    <xf numFmtId="5" fontId="25" fillId="3" borderId="3" xfId="2" applyNumberFormat="1" applyFont="1" applyFill="1" applyBorder="1"/>
    <xf numFmtId="37" fontId="25" fillId="0" borderId="3" xfId="2" applyNumberFormat="1" applyFont="1" applyFill="1" applyBorder="1"/>
    <xf numFmtId="6" fontId="25" fillId="0" borderId="3" xfId="2" applyNumberFormat="1" applyFont="1" applyFill="1" applyBorder="1"/>
    <xf numFmtId="0" fontId="27" fillId="0" borderId="0" xfId="0" applyFont="1"/>
    <xf numFmtId="0" fontId="21" fillId="0" borderId="0" xfId="0" applyFont="1"/>
    <xf numFmtId="37" fontId="28" fillId="0" borderId="0" xfId="2" applyNumberFormat="1" applyFont="1" applyFill="1" applyBorder="1"/>
    <xf numFmtId="37" fontId="28" fillId="3" borderId="0" xfId="2" applyNumberFormat="1" applyFont="1" applyFill="1" applyBorder="1"/>
    <xf numFmtId="6" fontId="28" fillId="0" borderId="0" xfId="2" applyNumberFormat="1" applyFont="1" applyFill="1" applyBorder="1"/>
    <xf numFmtId="6" fontId="20" fillId="0" borderId="0" xfId="2" applyNumberFormat="1" applyFont="1" applyFill="1" applyBorder="1"/>
    <xf numFmtId="0" fontId="25" fillId="0" borderId="0" xfId="0" applyFont="1" applyAlignment="1">
      <alignment horizontal="left"/>
    </xf>
    <xf numFmtId="6" fontId="24" fillId="3" borderId="0" xfId="2" applyNumberFormat="1" applyFont="1" applyFill="1" applyBorder="1"/>
    <xf numFmtId="37" fontId="25" fillId="0" borderId="0" xfId="2" applyNumberFormat="1" applyFont="1" applyFill="1" applyBorder="1"/>
    <xf numFmtId="43" fontId="22" fillId="0" borderId="0" xfId="1" applyFont="1" applyFill="1"/>
    <xf numFmtId="6" fontId="24" fillId="0" borderId="3" xfId="0" applyNumberFormat="1" applyFont="1" applyBorder="1"/>
    <xf numFmtId="6" fontId="25" fillId="3" borderId="3" xfId="2" applyNumberFormat="1" applyFont="1" applyFill="1" applyBorder="1"/>
    <xf numFmtId="37" fontId="24" fillId="3" borderId="0" xfId="2" applyNumberFormat="1" applyFont="1" applyFill="1" applyBorder="1"/>
    <xf numFmtId="37" fontId="20" fillId="0" borderId="0" xfId="2" applyNumberFormat="1" applyFont="1" applyFill="1"/>
    <xf numFmtId="37" fontId="20" fillId="3" borderId="0" xfId="2" applyNumberFormat="1" applyFont="1" applyFill="1"/>
    <xf numFmtId="6" fontId="20" fillId="0" borderId="0" xfId="2" applyNumberFormat="1" applyFont="1" applyFill="1"/>
    <xf numFmtId="0" fontId="29" fillId="0" borderId="0" xfId="0" applyFont="1"/>
    <xf numFmtId="5" fontId="21" fillId="0" borderId="3" xfId="2" applyNumberFormat="1" applyFont="1" applyFill="1" applyBorder="1"/>
    <xf numFmtId="5" fontId="21" fillId="3" borderId="3" xfId="2" applyNumberFormat="1" applyFont="1" applyFill="1" applyBorder="1"/>
    <xf numFmtId="5" fontId="21" fillId="0" borderId="0" xfId="2" applyNumberFormat="1" applyFont="1" applyFill="1" applyBorder="1"/>
    <xf numFmtId="5" fontId="20" fillId="0" borderId="3" xfId="0" applyNumberFormat="1" applyFont="1" applyBorder="1"/>
    <xf numFmtId="0" fontId="30" fillId="0" borderId="0" xfId="0" applyFont="1"/>
    <xf numFmtId="37" fontId="20" fillId="0" borderId="0" xfId="0" applyNumberFormat="1" applyFont="1"/>
    <xf numFmtId="37" fontId="20" fillId="3" borderId="0" xfId="0" applyNumberFormat="1" applyFont="1" applyFill="1"/>
    <xf numFmtId="6" fontId="20" fillId="0" borderId="0" xfId="0" applyNumberFormat="1" applyFont="1"/>
    <xf numFmtId="38" fontId="19" fillId="0" borderId="0" xfId="0" applyNumberFormat="1" applyFont="1"/>
    <xf numFmtId="38" fontId="31" fillId="0" borderId="0" xfId="0" applyNumberFormat="1" applyFont="1"/>
    <xf numFmtId="38" fontId="32" fillId="0" borderId="0" xfId="0" applyNumberFormat="1" applyFont="1" applyAlignment="1">
      <alignment horizontal="center"/>
    </xf>
    <xf numFmtId="38" fontId="20" fillId="0" borderId="0" xfId="0" applyNumberFormat="1" applyFont="1" applyAlignment="1">
      <alignment horizontal="right"/>
    </xf>
    <xf numFmtId="5" fontId="21" fillId="0" borderId="4" xfId="0" applyNumberFormat="1" applyFont="1" applyBorder="1"/>
    <xf numFmtId="5" fontId="21" fillId="0" borderId="0" xfId="0" applyNumberFormat="1" applyFont="1"/>
    <xf numFmtId="6" fontId="21" fillId="0" borderId="4" xfId="0" applyNumberFormat="1" applyFont="1" applyBorder="1"/>
    <xf numFmtId="6" fontId="20" fillId="0" borderId="4" xfId="0" applyNumberFormat="1" applyFont="1" applyBorder="1"/>
    <xf numFmtId="6" fontId="31" fillId="0" borderId="0" xfId="0" applyNumberFormat="1" applyFont="1"/>
    <xf numFmtId="8" fontId="0" fillId="0" borderId="0" xfId="0" applyNumberFormat="1"/>
    <xf numFmtId="0" fontId="33" fillId="0" borderId="0" xfId="0" applyFont="1" applyAlignment="1">
      <alignment horizontal="centerContinuous" vertical="distributed"/>
    </xf>
    <xf numFmtId="0" fontId="34" fillId="0" borderId="0" xfId="0" applyFont="1"/>
    <xf numFmtId="37" fontId="35" fillId="0" borderId="0" xfId="0" applyNumberFormat="1" applyFont="1"/>
    <xf numFmtId="49" fontId="0" fillId="0" borderId="0" xfId="0" applyNumberFormat="1"/>
    <xf numFmtId="0" fontId="35" fillId="0" borderId="0" xfId="0" applyFont="1"/>
    <xf numFmtId="0" fontId="36" fillId="0" borderId="0" xfId="0" applyFont="1"/>
    <xf numFmtId="0" fontId="0" fillId="0" borderId="0" xfId="0" applyFill="1"/>
    <xf numFmtId="10" fontId="0" fillId="0" borderId="0" xfId="0" applyNumberFormat="1" applyAlignment="1">
      <alignment horizontal="center"/>
    </xf>
    <xf numFmtId="8" fontId="14" fillId="3" borderId="0" xfId="1" applyNumberFormat="1" applyFont="1" applyFill="1"/>
    <xf numFmtId="0" fontId="10" fillId="0" borderId="1" xfId="0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3" fillId="10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166" fontId="0" fillId="0" borderId="0" xfId="1" applyNumberFormat="1" applyFont="1" applyFill="1" applyBorder="1"/>
    <xf numFmtId="166" fontId="5" fillId="0" borderId="0" xfId="1" applyNumberFormat="1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6" fontId="0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8" fontId="0" fillId="3" borderId="0" xfId="1" applyNumberFormat="1" applyFont="1" applyFill="1" applyAlignment="1">
      <alignment horizontal="center"/>
    </xf>
    <xf numFmtId="8" fontId="0" fillId="3" borderId="2" xfId="1" applyNumberFormat="1" applyFont="1" applyFill="1" applyBorder="1" applyAlignment="1">
      <alignment horizontal="center"/>
    </xf>
    <xf numFmtId="0" fontId="10" fillId="4" borderId="0" xfId="0" applyFont="1" applyFill="1"/>
    <xf numFmtId="0" fontId="11" fillId="4" borderId="0" xfId="0" applyFont="1" applyFill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6" fontId="14" fillId="4" borderId="0" xfId="1" applyNumberFormat="1" applyFont="1" applyFill="1" applyAlignment="1">
      <alignment horizontal="center"/>
    </xf>
    <xf numFmtId="6" fontId="13" fillId="0" borderId="0" xfId="0" applyNumberFormat="1" applyFont="1" applyAlignment="1"/>
    <xf numFmtId="5" fontId="0" fillId="0" borderId="0" xfId="1" applyNumberFormat="1" applyFont="1" applyFill="1" applyAlignment="1"/>
    <xf numFmtId="5" fontId="0" fillId="0" borderId="2" xfId="1" applyNumberFormat="1" applyFont="1" applyBorder="1" applyAlignment="1"/>
    <xf numFmtId="5" fontId="0" fillId="0" borderId="0" xfId="1" applyNumberFormat="1" applyFont="1" applyFill="1" applyAlignment="1">
      <alignment horizontal="center"/>
    </xf>
    <xf numFmtId="6" fontId="1" fillId="0" borderId="0" xfId="1" applyNumberFormat="1" applyFont="1" applyBorder="1" applyAlignment="1">
      <alignment horizontal="center"/>
    </xf>
    <xf numFmtId="5" fontId="1" fillId="0" borderId="2" xfId="1" applyNumberFormat="1" applyFont="1" applyBorder="1" applyAlignment="1">
      <alignment horizontal="center"/>
    </xf>
    <xf numFmtId="6" fontId="1" fillId="0" borderId="2" xfId="1" applyNumberFormat="1" applyFont="1" applyBorder="1" applyAlignment="1">
      <alignment horizontal="center"/>
    </xf>
    <xf numFmtId="6" fontId="10" fillId="0" borderId="0" xfId="0" applyNumberFormat="1" applyFont="1" applyAlignment="1">
      <alignment horizontal="center"/>
    </xf>
    <xf numFmtId="6" fontId="10" fillId="0" borderId="0" xfId="1" applyNumberFormat="1" applyFont="1" applyAlignment="1">
      <alignment horizontal="center"/>
    </xf>
    <xf numFmtId="6" fontId="10" fillId="0" borderId="2" xfId="1" applyNumberFormat="1" applyFont="1" applyBorder="1" applyAlignment="1">
      <alignment horizontal="center"/>
    </xf>
    <xf numFmtId="37" fontId="0" fillId="0" borderId="1" xfId="0" applyNumberFormat="1" applyBorder="1"/>
    <xf numFmtId="164" fontId="0" fillId="0" borderId="1" xfId="0" applyNumberFormat="1" applyBorder="1"/>
    <xf numFmtId="167" fontId="0" fillId="0" borderId="1" xfId="0" applyNumberFormat="1" applyBorder="1"/>
    <xf numFmtId="0" fontId="3" fillId="0" borderId="0" xfId="0" applyFont="1" applyAlignment="1">
      <alignment wrapText="1"/>
    </xf>
    <xf numFmtId="0" fontId="19" fillId="0" borderId="0" xfId="0" applyFont="1" applyAlignment="1">
      <alignment wrapText="1"/>
    </xf>
    <xf numFmtId="38" fontId="24" fillId="0" borderId="0" xfId="0" applyNumberFormat="1" applyFont="1" applyAlignment="1">
      <alignment wrapText="1"/>
    </xf>
    <xf numFmtId="6" fontId="24" fillId="0" borderId="0" xfId="0" applyNumberFormat="1" applyFont="1" applyAlignment="1">
      <alignment wrapText="1"/>
    </xf>
    <xf numFmtId="6" fontId="24" fillId="0" borderId="3" xfId="0" applyNumberFormat="1" applyFont="1" applyBorder="1" applyAlignment="1">
      <alignment wrapText="1"/>
    </xf>
    <xf numFmtId="0" fontId="0" fillId="0" borderId="1" xfId="0" applyBorder="1"/>
    <xf numFmtId="44" fontId="22" fillId="0" borderId="0" xfId="0" applyNumberFormat="1" applyFont="1"/>
    <xf numFmtId="44" fontId="0" fillId="0" borderId="0" xfId="0" applyNumberFormat="1"/>
    <xf numFmtId="0" fontId="38" fillId="0" borderId="0" xfId="0" applyFont="1" applyAlignment="1">
      <alignment horizontal="center"/>
    </xf>
    <xf numFmtId="44" fontId="38" fillId="0" borderId="0" xfId="0" applyNumberFormat="1" applyFont="1"/>
    <xf numFmtId="44" fontId="38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39" fillId="0" borderId="0" xfId="0" applyNumberFormat="1" applyFont="1"/>
    <xf numFmtId="44" fontId="39" fillId="0" borderId="0" xfId="0" applyNumberFormat="1" applyFont="1" applyAlignment="1">
      <alignment horizontal="center"/>
    </xf>
    <xf numFmtId="44" fontId="39" fillId="0" borderId="0" xfId="0" applyNumberFormat="1" applyFont="1" applyAlignment="1">
      <alignment horizontal="left" wrapText="1"/>
    </xf>
    <xf numFmtId="44" fontId="22" fillId="4" borderId="0" xfId="0" applyNumberFormat="1" applyFont="1" applyFill="1" applyAlignment="1">
      <alignment horizontal="center" wrapText="1"/>
    </xf>
    <xf numFmtId="44" fontId="40" fillId="0" borderId="0" xfId="2" applyFont="1" applyFill="1"/>
    <xf numFmtId="44" fontId="22" fillId="3" borderId="0" xfId="0" applyNumberFormat="1" applyFont="1" applyFill="1"/>
    <xf numFmtId="44" fontId="40" fillId="0" borderId="1" xfId="2" applyFont="1" applyFill="1" applyBorder="1"/>
    <xf numFmtId="44" fontId="22" fillId="0" borderId="1" xfId="0" applyNumberFormat="1" applyFont="1" applyBorder="1"/>
    <xf numFmtId="44" fontId="22" fillId="0" borderId="2" xfId="2" applyFont="1" applyBorder="1"/>
    <xf numFmtId="44" fontId="41" fillId="0" borderId="0" xfId="0" applyNumberFormat="1" applyFont="1"/>
    <xf numFmtId="44" fontId="22" fillId="0" borderId="5" xfId="2" applyFont="1" applyBorder="1"/>
    <xf numFmtId="44" fontId="22" fillId="0" borderId="5" xfId="0" applyNumberFormat="1" applyFont="1" applyBorder="1"/>
    <xf numFmtId="44" fontId="22" fillId="0" borderId="1" xfId="2" applyFont="1" applyBorder="1"/>
    <xf numFmtId="44" fontId="42" fillId="0" borderId="0" xfId="0" applyNumberFormat="1" applyFont="1"/>
    <xf numFmtId="44" fontId="22" fillId="0" borderId="0" xfId="0" applyNumberFormat="1" applyFont="1" applyAlignment="1">
      <alignment wrapText="1"/>
    </xf>
    <xf numFmtId="44" fontId="22" fillId="0" borderId="4" xfId="2" applyFont="1" applyBorder="1"/>
    <xf numFmtId="44" fontId="22" fillId="0" borderId="4" xfId="0" applyNumberFormat="1" applyFont="1" applyBorder="1"/>
    <xf numFmtId="44" fontId="22" fillId="0" borderId="2" xfId="0" applyNumberFormat="1" applyFont="1" applyBorder="1"/>
    <xf numFmtId="44" fontId="22" fillId="0" borderId="0" xfId="2" applyFont="1"/>
    <xf numFmtId="44" fontId="22" fillId="2" borderId="0" xfId="0" applyNumberFormat="1" applyFont="1" applyFill="1"/>
    <xf numFmtId="44" fontId="40" fillId="2" borderId="0" xfId="2" applyFont="1" applyFill="1"/>
    <xf numFmtId="44" fontId="22" fillId="0" borderId="1" xfId="2" applyFont="1" applyFill="1" applyBorder="1"/>
    <xf numFmtId="44" fontId="40" fillId="13" borderId="1" xfId="4" applyNumberFormat="1" applyFont="1" applyFill="1" applyBorder="1"/>
    <xf numFmtId="44" fontId="22" fillId="13" borderId="1" xfId="2" applyFont="1" applyFill="1" applyBorder="1"/>
    <xf numFmtId="44" fontId="43" fillId="0" borderId="0" xfId="4" applyNumberFormat="1" applyFont="1" applyFill="1" applyBorder="1"/>
    <xf numFmtId="0" fontId="22" fillId="0" borderId="0" xfId="0" applyFont="1" applyAlignment="1">
      <alignment horizontal="left"/>
    </xf>
    <xf numFmtId="44" fontId="22" fillId="14" borderId="0" xfId="0" applyNumberFormat="1" applyFont="1" applyFill="1"/>
    <xf numFmtId="44" fontId="22" fillId="11" borderId="0" xfId="0" applyNumberFormat="1" applyFont="1" applyFill="1"/>
    <xf numFmtId="44" fontId="22" fillId="15" borderId="0" xfId="0" applyNumberFormat="1" applyFont="1" applyFill="1"/>
    <xf numFmtId="44" fontId="22" fillId="13" borderId="0" xfId="0" applyNumberFormat="1" applyFont="1" applyFill="1"/>
    <xf numFmtId="44" fontId="22" fillId="2" borderId="1" xfId="0" applyNumberFormat="1" applyFont="1" applyFill="1" applyBorder="1"/>
    <xf numFmtId="44" fontId="39" fillId="0" borderId="0" xfId="0" applyNumberFormat="1" applyFont="1" applyAlignment="1">
      <alignment wrapText="1"/>
    </xf>
    <xf numFmtId="44" fontId="22" fillId="16" borderId="0" xfId="0" applyNumberFormat="1" applyFont="1" applyFill="1"/>
    <xf numFmtId="44" fontId="22" fillId="4" borderId="0" xfId="0" applyNumberFormat="1" applyFont="1" applyFill="1"/>
    <xf numFmtId="44" fontId="22" fillId="0" borderId="0" xfId="0" applyNumberFormat="1" applyFont="1" applyAlignment="1">
      <alignment horizontal="center" vertical="top" wrapText="1"/>
    </xf>
    <xf numFmtId="44" fontId="22" fillId="11" borderId="0" xfId="2" applyFont="1" applyFill="1"/>
    <xf numFmtId="44" fontId="43" fillId="0" borderId="0" xfId="4" applyNumberFormat="1" applyFont="1" applyFill="1"/>
    <xf numFmtId="44" fontId="22" fillId="16" borderId="0" xfId="2" applyFont="1" applyFill="1"/>
    <xf numFmtId="44" fontId="39" fillId="0" borderId="0" xfId="0" applyNumberFormat="1" applyFont="1" applyAlignment="1">
      <alignment horizontal="left"/>
    </xf>
    <xf numFmtId="44" fontId="22" fillId="0" borderId="0" xfId="2" applyFont="1" applyBorder="1"/>
    <xf numFmtId="44" fontId="22" fillId="2" borderId="0" xfId="2" applyFont="1" applyFill="1"/>
    <xf numFmtId="44" fontId="40" fillId="13" borderId="0" xfId="4" applyNumberFormat="1" applyFont="1" applyFill="1"/>
    <xf numFmtId="44" fontId="22" fillId="15" borderId="1" xfId="2" applyFont="1" applyFill="1" applyBorder="1"/>
    <xf numFmtId="38" fontId="0" fillId="0" borderId="4" xfId="0" applyNumberFormat="1" applyBorder="1"/>
    <xf numFmtId="0" fontId="44" fillId="0" borderId="0" xfId="0" applyFont="1"/>
    <xf numFmtId="0" fontId="0" fillId="0" borderId="0" xfId="0" applyBorder="1"/>
    <xf numFmtId="6" fontId="19" fillId="0" borderId="0" xfId="0" applyNumberFormat="1" applyFont="1" applyBorder="1"/>
    <xf numFmtId="6" fontId="0" fillId="0" borderId="0" xfId="0" applyNumberFormat="1" applyBorder="1"/>
    <xf numFmtId="168" fontId="20" fillId="17" borderId="1" xfId="2" applyNumberFormat="1" applyFont="1" applyFill="1" applyBorder="1" applyAlignment="1">
      <alignment horizontal="center" wrapText="1"/>
    </xf>
    <xf numFmtId="168" fontId="20" fillId="17" borderId="0" xfId="2" applyNumberFormat="1" applyFont="1" applyFill="1" applyBorder="1" applyAlignment="1">
      <alignment horizontal="center" vertical="center" wrapText="1"/>
    </xf>
    <xf numFmtId="6" fontId="24" fillId="17" borderId="0" xfId="2" applyNumberFormat="1" applyFont="1" applyFill="1" applyBorder="1"/>
    <xf numFmtId="38" fontId="24" fillId="17" borderId="0" xfId="2" applyNumberFormat="1" applyFont="1" applyFill="1" applyBorder="1"/>
    <xf numFmtId="38" fontId="24" fillId="17" borderId="1" xfId="2" applyNumberFormat="1" applyFont="1" applyFill="1" applyBorder="1"/>
    <xf numFmtId="6" fontId="21" fillId="17" borderId="2" xfId="2" applyNumberFormat="1" applyFont="1" applyFill="1" applyBorder="1"/>
    <xf numFmtId="37" fontId="20" fillId="17" borderId="0" xfId="2" applyNumberFormat="1" applyFont="1" applyFill="1" applyBorder="1"/>
    <xf numFmtId="10" fontId="24" fillId="17" borderId="0" xfId="2" applyNumberFormat="1" applyFont="1" applyFill="1" applyBorder="1"/>
    <xf numFmtId="6" fontId="25" fillId="17" borderId="3" xfId="2" applyNumberFormat="1" applyFont="1" applyFill="1" applyBorder="1"/>
    <xf numFmtId="6" fontId="28" fillId="17" borderId="0" xfId="2" applyNumberFormat="1" applyFont="1" applyFill="1" applyBorder="1"/>
    <xf numFmtId="6" fontId="20" fillId="17" borderId="0" xfId="2" applyNumberFormat="1" applyFont="1" applyFill="1" applyBorder="1"/>
    <xf numFmtId="6" fontId="20" fillId="17" borderId="0" xfId="2" applyNumberFormat="1" applyFont="1" applyFill="1"/>
    <xf numFmtId="5" fontId="21" fillId="17" borderId="3" xfId="2" applyNumberFormat="1" applyFont="1" applyFill="1" applyBorder="1"/>
    <xf numFmtId="6" fontId="20" fillId="17" borderId="0" xfId="0" applyNumberFormat="1" applyFont="1" applyFill="1"/>
    <xf numFmtId="6" fontId="21" fillId="17" borderId="4" xfId="0" applyNumberFormat="1" applyFont="1" applyFill="1" applyBorder="1"/>
    <xf numFmtId="0" fontId="20" fillId="17" borderId="1" xfId="0" applyFont="1" applyFill="1" applyBorder="1" applyAlignment="1">
      <alignment horizontal="center"/>
    </xf>
    <xf numFmtId="0" fontId="3" fillId="17" borderId="0" xfId="0" applyFont="1" applyFill="1"/>
    <xf numFmtId="6" fontId="24" fillId="17" borderId="0" xfId="0" applyNumberFormat="1" applyFont="1" applyFill="1"/>
    <xf numFmtId="38" fontId="24" fillId="17" borderId="0" xfId="0" applyNumberFormat="1" applyFont="1" applyFill="1"/>
    <xf numFmtId="38" fontId="0" fillId="17" borderId="1" xfId="0" applyNumberFormat="1" applyFill="1" applyBorder="1"/>
    <xf numFmtId="167" fontId="0" fillId="17" borderId="0" xfId="0" applyNumberFormat="1" applyFill="1"/>
    <xf numFmtId="38" fontId="24" fillId="17" borderId="1" xfId="0" applyNumberFormat="1" applyFont="1" applyFill="1" applyBorder="1"/>
    <xf numFmtId="6" fontId="0" fillId="17" borderId="0" xfId="0" applyNumberFormat="1" applyFill="1"/>
    <xf numFmtId="38" fontId="0" fillId="17" borderId="0" xfId="0" applyNumberFormat="1" applyFill="1"/>
    <xf numFmtId="0" fontId="20" fillId="17" borderId="0" xfId="0" applyFont="1" applyFill="1"/>
    <xf numFmtId="0" fontId="0" fillId="17" borderId="0" xfId="0" applyFill="1"/>
    <xf numFmtId="0" fontId="20" fillId="17" borderId="1" xfId="0" applyFont="1" applyFill="1" applyBorder="1" applyAlignment="1">
      <alignment horizontal="center" wrapText="1"/>
    </xf>
    <xf numFmtId="6" fontId="24" fillId="17" borderId="1" xfId="0" applyNumberFormat="1" applyFont="1" applyFill="1" applyBorder="1"/>
    <xf numFmtId="37" fontId="20" fillId="0" borderId="0" xfId="0" applyNumberFormat="1" applyFont="1" applyFill="1"/>
    <xf numFmtId="5" fontId="21" fillId="0" borderId="4" xfId="0" applyNumberFormat="1" applyFont="1" applyFill="1" applyBorder="1"/>
    <xf numFmtId="10" fontId="24" fillId="17" borderId="0" xfId="0" applyNumberFormat="1" applyFont="1" applyFill="1"/>
    <xf numFmtId="10" fontId="24" fillId="17" borderId="1" xfId="0" applyNumberFormat="1" applyFont="1" applyFill="1" applyBorder="1"/>
    <xf numFmtId="168" fontId="20" fillId="10" borderId="0" xfId="2" applyNumberFormat="1" applyFont="1" applyFill="1" applyBorder="1" applyAlignment="1">
      <alignment horizontal="center" vertical="center" wrapText="1"/>
    </xf>
    <xf numFmtId="6" fontId="21" fillId="10" borderId="2" xfId="2" applyNumberFormat="1" applyFont="1" applyFill="1" applyBorder="1"/>
    <xf numFmtId="37" fontId="20" fillId="10" borderId="0" xfId="2" applyNumberFormat="1" applyFont="1" applyFill="1" applyBorder="1"/>
    <xf numFmtId="6" fontId="25" fillId="10" borderId="3" xfId="2" applyNumberFormat="1" applyFont="1" applyFill="1" applyBorder="1"/>
    <xf numFmtId="6" fontId="28" fillId="10" borderId="0" xfId="2" applyNumberFormat="1" applyFont="1" applyFill="1" applyBorder="1"/>
    <xf numFmtId="6" fontId="20" fillId="10" borderId="0" xfId="2" applyNumberFormat="1" applyFont="1" applyFill="1" applyBorder="1"/>
    <xf numFmtId="6" fontId="20" fillId="10" borderId="0" xfId="2" applyNumberFormat="1" applyFont="1" applyFill="1"/>
    <xf numFmtId="5" fontId="21" fillId="10" borderId="3" xfId="2" applyNumberFormat="1" applyFont="1" applyFill="1" applyBorder="1"/>
    <xf numFmtId="6" fontId="20" fillId="10" borderId="0" xfId="0" applyNumberFormat="1" applyFont="1" applyFill="1"/>
    <xf numFmtId="6" fontId="21" fillId="10" borderId="4" xfId="0" applyNumberFormat="1" applyFont="1" applyFill="1" applyBorder="1"/>
    <xf numFmtId="0" fontId="3" fillId="10" borderId="0" xfId="0" applyFont="1" applyFill="1"/>
    <xf numFmtId="167" fontId="0" fillId="10" borderId="0" xfId="0" applyNumberFormat="1" applyFill="1"/>
    <xf numFmtId="6" fontId="0" fillId="10" borderId="0" xfId="0" applyNumberFormat="1" applyFill="1"/>
    <xf numFmtId="0" fontId="0" fillId="10" borderId="0" xfId="0" applyFill="1"/>
    <xf numFmtId="10" fontId="24" fillId="10" borderId="0" xfId="2" applyNumberFormat="1" applyFont="1" applyFill="1" applyBorder="1"/>
    <xf numFmtId="37" fontId="0" fillId="0" borderId="0" xfId="0" applyNumberFormat="1" applyBorder="1"/>
    <xf numFmtId="10" fontId="24" fillId="10" borderId="0" xfId="0" applyNumberFormat="1" applyFont="1" applyFill="1"/>
    <xf numFmtId="10" fontId="24" fillId="10" borderId="1" xfId="2" applyNumberFormat="1" applyFont="1" applyFill="1" applyBorder="1"/>
    <xf numFmtId="3" fontId="24" fillId="0" borderId="0" xfId="2" applyNumberFormat="1" applyFont="1" applyFill="1" applyBorder="1"/>
    <xf numFmtId="3" fontId="24" fillId="0" borderId="1" xfId="2" applyNumberFormat="1" applyFont="1" applyFill="1" applyBorder="1"/>
    <xf numFmtId="3" fontId="24" fillId="0" borderId="0" xfId="0" applyNumberFormat="1" applyFont="1"/>
    <xf numFmtId="3" fontId="0" fillId="0" borderId="1" xfId="0" applyNumberFormat="1" applyBorder="1"/>
    <xf numFmtId="3" fontId="0" fillId="0" borderId="0" xfId="0" applyNumberFormat="1"/>
    <xf numFmtId="37" fontId="24" fillId="0" borderId="1" xfId="2" applyNumberFormat="1" applyFont="1" applyFill="1" applyBorder="1"/>
    <xf numFmtId="169" fontId="24" fillId="0" borderId="0" xfId="0" applyNumberFormat="1" applyFont="1"/>
    <xf numFmtId="10" fontId="24" fillId="10" borderId="1" xfId="0" applyNumberFormat="1" applyFont="1" applyFill="1" applyBorder="1"/>
    <xf numFmtId="10" fontId="0" fillId="10" borderId="1" xfId="0" applyNumberFormat="1" applyFill="1" applyBorder="1"/>
    <xf numFmtId="10" fontId="0" fillId="10" borderId="0" xfId="0" applyNumberForma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19" fillId="16" borderId="0" xfId="0" applyFont="1" applyFill="1"/>
    <xf numFmtId="0" fontId="0" fillId="16" borderId="0" xfId="0" applyFill="1"/>
    <xf numFmtId="0" fontId="19" fillId="16" borderId="0" xfId="0" applyFont="1" applyFill="1" applyAlignment="1">
      <alignment horizontal="center" wrapText="1"/>
    </xf>
    <xf numFmtId="0" fontId="19" fillId="16" borderId="0" xfId="0" applyFont="1" applyFill="1" applyAlignment="1">
      <alignment wrapText="1"/>
    </xf>
    <xf numFmtId="0" fontId="3" fillId="18" borderId="0" xfId="0" applyFont="1" applyFill="1" applyAlignment="1">
      <alignment horizontal="center"/>
    </xf>
    <xf numFmtId="0" fontId="3" fillId="18" borderId="0" xfId="0" applyFont="1" applyFill="1"/>
    <xf numFmtId="0" fontId="0" fillId="18" borderId="0" xfId="0" applyFill="1"/>
    <xf numFmtId="0" fontId="3" fillId="15" borderId="0" xfId="0" applyFont="1" applyFill="1" applyAlignment="1">
      <alignment horizontal="center"/>
    </xf>
    <xf numFmtId="0" fontId="3" fillId="15" borderId="0" xfId="0" applyFont="1" applyFill="1"/>
    <xf numFmtId="0" fontId="0" fillId="15" borderId="0" xfId="0" applyFill="1"/>
    <xf numFmtId="167" fontId="0" fillId="11" borderId="6" xfId="0" applyNumberFormat="1" applyFill="1" applyBorder="1"/>
    <xf numFmtId="0" fontId="3" fillId="13" borderId="0" xfId="0" applyFont="1" applyFill="1"/>
    <xf numFmtId="0" fontId="0" fillId="13" borderId="0" xfId="0" applyFill="1"/>
    <xf numFmtId="167" fontId="0" fillId="13" borderId="0" xfId="0" applyNumberFormat="1" applyFill="1"/>
    <xf numFmtId="167" fontId="0" fillId="13" borderId="1" xfId="0" applyNumberFormat="1" applyFill="1" applyBorder="1"/>
    <xf numFmtId="167" fontId="0" fillId="13" borderId="2" xfId="0" applyNumberFormat="1" applyFill="1" applyBorder="1"/>
    <xf numFmtId="167" fontId="0" fillId="16" borderId="4" xfId="0" applyNumberFormat="1" applyFill="1" applyBorder="1"/>
    <xf numFmtId="167" fontId="0" fillId="18" borderId="4" xfId="0" applyNumberFormat="1" applyFill="1" applyBorder="1"/>
    <xf numFmtId="38" fontId="19" fillId="16" borderId="0" xfId="0" applyNumberFormat="1" applyFont="1" applyFill="1"/>
    <xf numFmtId="0" fontId="0" fillId="11" borderId="0" xfId="0" applyFill="1"/>
    <xf numFmtId="0" fontId="25" fillId="0" borderId="0" xfId="0" applyFont="1" applyAlignment="1">
      <alignment horizontal="left" wrapText="1"/>
    </xf>
    <xf numFmtId="0" fontId="25" fillId="0" borderId="0" xfId="0" applyFont="1" applyAlignment="1">
      <alignment wrapText="1"/>
    </xf>
    <xf numFmtId="6" fontId="21" fillId="0" borderId="3" xfId="2" applyNumberFormat="1" applyFont="1" applyFill="1" applyBorder="1"/>
    <xf numFmtId="6" fontId="21" fillId="3" borderId="3" xfId="2" applyNumberFormat="1" applyFont="1" applyFill="1" applyBorder="1"/>
    <xf numFmtId="0" fontId="18" fillId="0" borderId="0" xfId="0" applyFont="1" applyFill="1" applyAlignment="1">
      <alignment horizontal="center"/>
    </xf>
    <xf numFmtId="0" fontId="20" fillId="9" borderId="1" xfId="0" applyFont="1" applyFill="1" applyBorder="1" applyAlignment="1">
      <alignment horizontal="center" wrapText="1"/>
    </xf>
    <xf numFmtId="0" fontId="3" fillId="9" borderId="0" xfId="0" applyFont="1" applyFill="1"/>
    <xf numFmtId="6" fontId="24" fillId="9" borderId="0" xfId="0" applyNumberFormat="1" applyFont="1" applyFill="1"/>
    <xf numFmtId="6" fontId="21" fillId="9" borderId="2" xfId="2" applyNumberFormat="1" applyFont="1" applyFill="1" applyBorder="1"/>
    <xf numFmtId="0" fontId="0" fillId="9" borderId="0" xfId="0" applyFill="1"/>
    <xf numFmtId="5" fontId="24" fillId="9" borderId="0" xfId="0" applyNumberFormat="1" applyFont="1" applyFill="1"/>
    <xf numFmtId="37" fontId="24" fillId="9" borderId="0" xfId="0" applyNumberFormat="1" applyFont="1" applyFill="1"/>
    <xf numFmtId="37" fontId="24" fillId="9" borderId="0" xfId="0" applyNumberFormat="1" applyFont="1" applyFill="1" applyBorder="1"/>
    <xf numFmtId="6" fontId="25" fillId="9" borderId="3" xfId="2" applyNumberFormat="1" applyFont="1" applyFill="1" applyBorder="1"/>
    <xf numFmtId="6" fontId="0" fillId="9" borderId="0" xfId="0" applyNumberFormat="1" applyFill="1"/>
    <xf numFmtId="37" fontId="24" fillId="9" borderId="1" xfId="0" applyNumberFormat="1" applyFont="1" applyFill="1" applyBorder="1"/>
    <xf numFmtId="38" fontId="24" fillId="9" borderId="0" xfId="0" applyNumberFormat="1" applyFont="1" applyFill="1"/>
    <xf numFmtId="5" fontId="0" fillId="9" borderId="0" xfId="0" applyNumberFormat="1" applyFill="1"/>
    <xf numFmtId="5" fontId="21" fillId="9" borderId="3" xfId="2" applyNumberFormat="1" applyFont="1" applyFill="1" applyBorder="1"/>
    <xf numFmtId="6" fontId="21" fillId="9" borderId="4" xfId="0" applyNumberFormat="1" applyFont="1" applyFill="1" applyBorder="1"/>
    <xf numFmtId="168" fontId="20" fillId="19" borderId="1" xfId="2" applyNumberFormat="1" applyFont="1" applyFill="1" applyBorder="1" applyAlignment="1">
      <alignment horizontal="center" vertical="center" wrapText="1"/>
    </xf>
    <xf numFmtId="5" fontId="18" fillId="0" borderId="0" xfId="0" applyNumberFormat="1" applyFont="1"/>
    <xf numFmtId="0" fontId="3" fillId="0" borderId="1" xfId="0" applyFont="1" applyBorder="1" applyAlignment="1">
      <alignment horizontal="center"/>
    </xf>
    <xf numFmtId="44" fontId="0" fillId="0" borderId="1" xfId="0" applyNumberFormat="1" applyBorder="1"/>
    <xf numFmtId="0" fontId="3" fillId="19" borderId="0" xfId="0" applyFont="1" applyFill="1"/>
    <xf numFmtId="5" fontId="24" fillId="19" borderId="0" xfId="0" applyNumberFormat="1" applyFont="1" applyFill="1"/>
    <xf numFmtId="38" fontId="24" fillId="19" borderId="0" xfId="0" applyNumberFormat="1" applyFont="1" applyFill="1"/>
    <xf numFmtId="5" fontId="20" fillId="19" borderId="2" xfId="0" applyNumberFormat="1" applyFont="1" applyFill="1" applyBorder="1"/>
    <xf numFmtId="37" fontId="0" fillId="19" borderId="0" xfId="0" applyNumberFormat="1" applyFill="1"/>
    <xf numFmtId="6" fontId="24" fillId="19" borderId="0" xfId="0" applyNumberFormat="1" applyFont="1" applyFill="1"/>
    <xf numFmtId="5" fontId="21" fillId="19" borderId="3" xfId="2" applyNumberFormat="1" applyFont="1" applyFill="1" applyBorder="1"/>
    <xf numFmtId="6" fontId="21" fillId="3" borderId="4" xfId="0" applyNumberFormat="1" applyFont="1" applyFill="1" applyBorder="1"/>
    <xf numFmtId="6" fontId="21" fillId="19" borderId="4" xfId="0" applyNumberFormat="1" applyFont="1" applyFill="1" applyBorder="1"/>
    <xf numFmtId="37" fontId="24" fillId="19" borderId="0" xfId="0" applyNumberFormat="1" applyFont="1" applyFill="1"/>
    <xf numFmtId="5" fontId="20" fillId="19" borderId="3" xfId="0" applyNumberFormat="1" applyFont="1" applyFill="1" applyBorder="1"/>
    <xf numFmtId="6" fontId="20" fillId="0" borderId="3" xfId="0" applyNumberFormat="1" applyFont="1" applyBorder="1"/>
    <xf numFmtId="6" fontId="20" fillId="19" borderId="3" xfId="0" applyNumberFormat="1" applyFont="1" applyFill="1" applyBorder="1"/>
    <xf numFmtId="0" fontId="3" fillId="0" borderId="0" xfId="0" applyFont="1" applyFill="1"/>
    <xf numFmtId="5" fontId="24" fillId="0" borderId="0" xfId="0" applyNumberFormat="1" applyFont="1" applyFill="1"/>
    <xf numFmtId="37" fontId="24" fillId="0" borderId="0" xfId="0" applyNumberFormat="1" applyFont="1" applyFill="1"/>
    <xf numFmtId="38" fontId="24" fillId="0" borderId="0" xfId="0" applyNumberFormat="1" applyFont="1" applyFill="1"/>
    <xf numFmtId="5" fontId="20" fillId="0" borderId="2" xfId="0" applyNumberFormat="1" applyFont="1" applyFill="1" applyBorder="1"/>
    <xf numFmtId="37" fontId="0" fillId="0" borderId="0" xfId="0" applyNumberFormat="1" applyFill="1"/>
    <xf numFmtId="5" fontId="20" fillId="0" borderId="3" xfId="0" applyNumberFormat="1" applyFont="1" applyFill="1" applyBorder="1"/>
    <xf numFmtId="6" fontId="24" fillId="0" borderId="0" xfId="0" applyNumberFormat="1" applyFont="1" applyFill="1"/>
    <xf numFmtId="6" fontId="20" fillId="0" borderId="3" xfId="0" applyNumberFormat="1" applyFont="1" applyFill="1" applyBorder="1"/>
    <xf numFmtId="6" fontId="21" fillId="0" borderId="4" xfId="0" applyNumberFormat="1" applyFont="1" applyFill="1" applyBorder="1"/>
    <xf numFmtId="37" fontId="0" fillId="0" borderId="0" xfId="0" applyNumberFormat="1" applyFill="1" applyBorder="1"/>
    <xf numFmtId="37" fontId="35" fillId="0" borderId="0" xfId="0" applyNumberFormat="1" applyFont="1" applyFill="1"/>
    <xf numFmtId="0" fontId="35" fillId="0" borderId="0" xfId="0" applyFont="1" applyFill="1"/>
    <xf numFmtId="167" fontId="24" fillId="9" borderId="0" xfId="0" applyNumberFormat="1" applyFont="1" applyFill="1"/>
    <xf numFmtId="37" fontId="0" fillId="9" borderId="0" xfId="0" applyNumberFormat="1" applyFill="1"/>
    <xf numFmtId="37" fontId="0" fillId="9" borderId="1" xfId="0" applyNumberFormat="1" applyFill="1" applyBorder="1"/>
    <xf numFmtId="0" fontId="24" fillId="0" borderId="0" xfId="0" applyFont="1" applyFill="1"/>
    <xf numFmtId="0" fontId="18" fillId="0" borderId="0" xfId="0" applyFont="1" applyFill="1"/>
    <xf numFmtId="0" fontId="3" fillId="2" borderId="0" xfId="0" applyFont="1" applyFill="1"/>
    <xf numFmtId="6" fontId="24" fillId="2" borderId="0" xfId="0" applyNumberFormat="1" applyFont="1" applyFill="1"/>
    <xf numFmtId="3" fontId="24" fillId="2" borderId="0" xfId="0" applyNumberFormat="1" applyFont="1" applyFill="1"/>
    <xf numFmtId="3" fontId="0" fillId="2" borderId="0" xfId="0" applyNumberFormat="1" applyFill="1"/>
    <xf numFmtId="3" fontId="0" fillId="2" borderId="1" xfId="0" applyNumberFormat="1" applyFill="1" applyBorder="1"/>
    <xf numFmtId="6" fontId="21" fillId="2" borderId="2" xfId="2" applyNumberFormat="1" applyFont="1" applyFill="1" applyBorder="1"/>
    <xf numFmtId="5" fontId="24" fillId="2" borderId="0" xfId="0" applyNumberFormat="1" applyFont="1" applyFill="1"/>
    <xf numFmtId="37" fontId="24" fillId="2" borderId="0" xfId="0" applyNumberFormat="1" applyFont="1" applyFill="1"/>
    <xf numFmtId="37" fontId="24" fillId="2" borderId="1" xfId="0" applyNumberFormat="1" applyFont="1" applyFill="1" applyBorder="1"/>
    <xf numFmtId="6" fontId="25" fillId="2" borderId="3" xfId="2" applyNumberFormat="1" applyFont="1" applyFill="1" applyBorder="1"/>
    <xf numFmtId="6" fontId="0" fillId="2" borderId="0" xfId="0" applyNumberFormat="1" applyFill="1"/>
    <xf numFmtId="5" fontId="0" fillId="2" borderId="0" xfId="0" applyNumberFormat="1" applyFill="1"/>
    <xf numFmtId="5" fontId="21" fillId="2" borderId="3" xfId="2" applyNumberFormat="1" applyFont="1" applyFill="1" applyBorder="1"/>
    <xf numFmtId="6" fontId="21" fillId="2" borderId="4" xfId="0" applyNumberFormat="1" applyFont="1" applyFill="1" applyBorder="1"/>
    <xf numFmtId="167" fontId="0" fillId="16" borderId="0" xfId="0" applyNumberFormat="1" applyFill="1" applyBorder="1"/>
    <xf numFmtId="0" fontId="0" fillId="13" borderId="0" xfId="0" applyFill="1" applyAlignment="1">
      <alignment wrapText="1"/>
    </xf>
    <xf numFmtId="37" fontId="24" fillId="19" borderId="0" xfId="0" applyNumberFormat="1" applyFont="1" applyFill="1" applyBorder="1"/>
    <xf numFmtId="37" fontId="24" fillId="0" borderId="0" xfId="0" applyNumberFormat="1" applyFont="1" applyFill="1" applyBorder="1"/>
    <xf numFmtId="3" fontId="0" fillId="0" borderId="0" xfId="0" applyNumberFormat="1" applyBorder="1"/>
    <xf numFmtId="0" fontId="0" fillId="0" borderId="0" xfId="0" applyFont="1" applyBorder="1"/>
    <xf numFmtId="38" fontId="0" fillId="0" borderId="0" xfId="0" applyNumberFormat="1" applyBorder="1"/>
    <xf numFmtId="167" fontId="0" fillId="0" borderId="0" xfId="0" applyNumberFormat="1" applyFill="1"/>
    <xf numFmtId="0" fontId="0" fillId="0" borderId="0" xfId="0" applyFill="1" applyAlignment="1">
      <alignment wrapText="1"/>
    </xf>
    <xf numFmtId="167" fontId="0" fillId="0" borderId="0" xfId="0" applyNumberFormat="1" applyFill="1" applyBorder="1"/>
    <xf numFmtId="167" fontId="0" fillId="11" borderId="4" xfId="0" applyNumberFormat="1" applyFill="1" applyBorder="1"/>
    <xf numFmtId="0" fontId="20" fillId="2" borderId="1" xfId="0" applyFont="1" applyFill="1" applyBorder="1" applyAlignment="1">
      <alignment horizontal="center" wrapText="1"/>
    </xf>
    <xf numFmtId="0" fontId="3" fillId="15" borderId="0" xfId="0" applyFont="1" applyFill="1" applyAlignment="1">
      <alignment horizontal="center" wrapText="1"/>
    </xf>
    <xf numFmtId="0" fontId="3" fillId="18" borderId="0" xfId="0" applyFont="1" applyFill="1" applyAlignment="1">
      <alignment horizontal="center" wrapText="1"/>
    </xf>
    <xf numFmtId="0" fontId="47" fillId="16" borderId="0" xfId="0" applyFont="1" applyFill="1" applyAlignment="1">
      <alignment wrapText="1"/>
    </xf>
    <xf numFmtId="0" fontId="47" fillId="18" borderId="0" xfId="0" applyFont="1" applyFill="1" applyAlignment="1">
      <alignment wrapText="1"/>
    </xf>
    <xf numFmtId="0" fontId="47" fillId="15" borderId="0" xfId="0" applyFont="1" applyFill="1" applyAlignment="1">
      <alignment wrapText="1"/>
    </xf>
    <xf numFmtId="5" fontId="0" fillId="18" borderId="4" xfId="0" applyNumberFormat="1" applyFill="1" applyBorder="1"/>
    <xf numFmtId="167" fontId="0" fillId="15" borderId="4" xfId="0" applyNumberFormat="1" applyFill="1" applyBorder="1"/>
    <xf numFmtId="167" fontId="0" fillId="15" borderId="6" xfId="0" applyNumberFormat="1" applyFill="1" applyBorder="1"/>
    <xf numFmtId="167" fontId="47" fillId="15" borderId="0" xfId="0" applyNumberFormat="1" applyFont="1" applyFill="1" applyBorder="1" applyAlignment="1">
      <alignment wrapText="1"/>
    </xf>
    <xf numFmtId="167" fontId="3" fillId="11" borderId="4" xfId="0" applyNumberFormat="1" applyFont="1" applyFill="1" applyBorder="1" applyAlignment="1">
      <alignment wrapText="1"/>
    </xf>
    <xf numFmtId="0" fontId="47" fillId="11" borderId="0" xfId="0" applyFont="1" applyFill="1" applyAlignment="1">
      <alignment horizontal="left" wrapText="1"/>
    </xf>
    <xf numFmtId="167" fontId="0" fillId="11" borderId="0" xfId="0" applyNumberFormat="1" applyFill="1"/>
    <xf numFmtId="0" fontId="0" fillId="11" borderId="0" xfId="0" applyFill="1" applyAlignment="1">
      <alignment wrapText="1"/>
    </xf>
    <xf numFmtId="167" fontId="0" fillId="15" borderId="0" xfId="0" applyNumberFormat="1" applyFill="1"/>
    <xf numFmtId="0" fontId="3" fillId="15" borderId="0" xfId="0" applyFont="1" applyFill="1" applyAlignment="1">
      <alignment wrapText="1"/>
    </xf>
    <xf numFmtId="3" fontId="24" fillId="0" borderId="0" xfId="0" applyNumberFormat="1" applyFont="1" applyFill="1"/>
    <xf numFmtId="3" fontId="0" fillId="0" borderId="0" xfId="0" applyNumberFormat="1" applyFill="1"/>
    <xf numFmtId="3" fontId="0" fillId="0" borderId="1" xfId="0" applyNumberFormat="1" applyFill="1" applyBorder="1"/>
    <xf numFmtId="37" fontId="24" fillId="0" borderId="1" xfId="0" applyNumberFormat="1" applyFont="1" applyFill="1" applyBorder="1"/>
    <xf numFmtId="6" fontId="0" fillId="0" borderId="0" xfId="0" applyNumberFormat="1" applyFill="1"/>
    <xf numFmtId="5" fontId="0" fillId="0" borderId="0" xfId="0" applyNumberFormat="1" applyFill="1"/>
    <xf numFmtId="8" fontId="0" fillId="0" borderId="0" xfId="0" applyNumberFormat="1" applyFill="1"/>
    <xf numFmtId="168" fontId="20" fillId="14" borderId="1" xfId="2" applyNumberFormat="1" applyFont="1" applyFill="1" applyBorder="1" applyAlignment="1">
      <alignment horizontal="center" vertical="center" wrapText="1"/>
    </xf>
    <xf numFmtId="168" fontId="20" fillId="14" borderId="0" xfId="2" applyNumberFormat="1" applyFont="1" applyFill="1" applyBorder="1" applyAlignment="1">
      <alignment horizontal="center" vertical="center" wrapText="1"/>
    </xf>
    <xf numFmtId="5" fontId="24" fillId="14" borderId="0" xfId="2" applyNumberFormat="1" applyFont="1" applyFill="1" applyBorder="1"/>
    <xf numFmtId="37" fontId="24" fillId="14" borderId="0" xfId="2" applyNumberFormat="1" applyFont="1" applyFill="1" applyBorder="1"/>
    <xf numFmtId="5" fontId="21" fillId="14" borderId="2" xfId="2" applyNumberFormat="1" applyFont="1" applyFill="1" applyBorder="1"/>
    <xf numFmtId="37" fontId="20" fillId="14" borderId="0" xfId="2" applyNumberFormat="1" applyFont="1" applyFill="1" applyBorder="1"/>
    <xf numFmtId="5" fontId="21" fillId="14" borderId="3" xfId="2" applyNumberFormat="1" applyFont="1" applyFill="1" applyBorder="1"/>
    <xf numFmtId="37" fontId="28" fillId="14" borderId="0" xfId="2" applyNumberFormat="1" applyFont="1" applyFill="1" applyBorder="1"/>
    <xf numFmtId="38" fontId="24" fillId="14" borderId="0" xfId="2" applyNumberFormat="1" applyFont="1" applyFill="1" applyBorder="1"/>
    <xf numFmtId="6" fontId="21" fillId="14" borderId="3" xfId="2" applyNumberFormat="1" applyFont="1" applyFill="1" applyBorder="1"/>
    <xf numFmtId="6" fontId="24" fillId="14" borderId="0" xfId="2" applyNumberFormat="1" applyFont="1" applyFill="1" applyBorder="1"/>
    <xf numFmtId="37" fontId="20" fillId="14" borderId="0" xfId="2" applyNumberFormat="1" applyFont="1" applyFill="1"/>
    <xf numFmtId="37" fontId="20" fillId="14" borderId="0" xfId="0" applyNumberFormat="1" applyFont="1" applyFill="1"/>
    <xf numFmtId="6" fontId="21" fillId="14" borderId="4" xfId="0" applyNumberFormat="1" applyFont="1" applyFill="1" applyBorder="1"/>
    <xf numFmtId="44" fontId="22" fillId="4" borderId="0" xfId="0" applyNumberFormat="1" applyFont="1" applyFill="1" applyAlignment="1">
      <alignment horizontal="center" wrapText="1"/>
    </xf>
    <xf numFmtId="3" fontId="0" fillId="0" borderId="0" xfId="0" applyNumberFormat="1" applyBorder="1" applyAlignment="1">
      <alignment horizontal="center"/>
    </xf>
  </cellXfs>
  <cellStyles count="5">
    <cellStyle name="Comma" xfId="1" builtinId="3"/>
    <cellStyle name="Currency" xfId="2" builtinId="4"/>
    <cellStyle name="Neutral" xfId="4" builtinId="2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263525</xdr:colOff>
      <xdr:row>6</xdr:row>
      <xdr:rowOff>244477</xdr:rowOff>
    </xdr:from>
    <xdr:to>
      <xdr:col>2</xdr:col>
      <xdr:colOff>2416175</xdr:colOff>
      <xdr:row>9</xdr:row>
      <xdr:rowOff>238125</xdr:rowOff>
    </xdr:to>
    <xdr:pic>
      <xdr:nvPicPr>
        <xdr:cNvPr id="2" name="Picture 1" descr="Joy's HD:Users:joyoliviamiller:Desktop:cirta:Identity:Logos:JPGs:RGB:Medium:Logo-CIRTA_RGB-mdm.jpg">
          <a:extLst>
            <a:ext uri="{FF2B5EF4-FFF2-40B4-BE49-F238E27FC236}">
              <a16:creationId xmlns:a16="http://schemas.microsoft.com/office/drawing/2014/main" id="{6E58F26D-8B4E-46B6-8596-840350758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076" y="244477"/>
          <a:ext cx="2152650" cy="100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8</xdr:row>
      <xdr:rowOff>121707</xdr:rowOff>
    </xdr:from>
    <xdr:to>
      <xdr:col>2</xdr:col>
      <xdr:colOff>2889248</xdr:colOff>
      <xdr:row>13</xdr:row>
      <xdr:rowOff>74084</xdr:rowOff>
    </xdr:to>
    <xdr:pic>
      <xdr:nvPicPr>
        <xdr:cNvPr id="3" name="Picture 2" descr="Joy's HD:Users:joyoliviamiller:Desktop:cirta:Identity:Logos:JPGs:RGB:Medium:Logo-CIRTA_RGB-mdm.jpg">
          <a:extLst>
            <a:ext uri="{FF2B5EF4-FFF2-40B4-BE49-F238E27FC236}">
              <a16:creationId xmlns:a16="http://schemas.microsoft.com/office/drawing/2014/main" id="{CDD6AECD-DD77-4B4F-B500-05575F19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25" y="523874"/>
          <a:ext cx="2793999" cy="957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9</xdr:row>
      <xdr:rowOff>46671</xdr:rowOff>
    </xdr:from>
    <xdr:to>
      <xdr:col>2</xdr:col>
      <xdr:colOff>2333624</xdr:colOff>
      <xdr:row>9</xdr:row>
      <xdr:rowOff>1019174</xdr:rowOff>
    </xdr:to>
    <xdr:pic>
      <xdr:nvPicPr>
        <xdr:cNvPr id="4" name="Picture 3" descr="Joy's HD:Users:joyoliviamiller:Desktop:cirta:Identity:Logos:JPGs:RGB:Medium:Logo-CIRTA_RGB-mdm.jpg">
          <a:extLst>
            <a:ext uri="{FF2B5EF4-FFF2-40B4-BE49-F238E27FC236}">
              <a16:creationId xmlns:a16="http://schemas.microsoft.com/office/drawing/2014/main" id="{A70F391A-0420-49B7-B26E-CF0D3461B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646746"/>
          <a:ext cx="2028825" cy="972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10</xdr:row>
      <xdr:rowOff>47626</xdr:rowOff>
    </xdr:from>
    <xdr:to>
      <xdr:col>2</xdr:col>
      <xdr:colOff>2943225</xdr:colOff>
      <xdr:row>14</xdr:row>
      <xdr:rowOff>238125</xdr:rowOff>
    </xdr:to>
    <xdr:pic>
      <xdr:nvPicPr>
        <xdr:cNvPr id="2" name="Picture 1" descr="Joy's HD:Users:joyoliviamiller:Desktop:cirta:Identity:Logos:JPGs:RGB:Medium:Logo-CIRTA_RGB-mdm.jpg">
          <a:extLst>
            <a:ext uri="{FF2B5EF4-FFF2-40B4-BE49-F238E27FC236}">
              <a16:creationId xmlns:a16="http://schemas.microsoft.com/office/drawing/2014/main" id="{0E9FACA6-95C5-45E5-8F59-4A84E4BE0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847726"/>
          <a:ext cx="2152650" cy="990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10</xdr:row>
      <xdr:rowOff>47626</xdr:rowOff>
    </xdr:from>
    <xdr:to>
      <xdr:col>2</xdr:col>
      <xdr:colOff>2943225</xdr:colOff>
      <xdr:row>14</xdr:row>
      <xdr:rowOff>238125</xdr:rowOff>
    </xdr:to>
    <xdr:pic>
      <xdr:nvPicPr>
        <xdr:cNvPr id="2" name="Picture 1" descr="Joy's HD:Users:joyoliviamiller:Desktop:cirta:Identity:Logos:JPGs:RGB:Medium:Logo-CIRTA_RGB-mdm.jpg">
          <a:extLst>
            <a:ext uri="{FF2B5EF4-FFF2-40B4-BE49-F238E27FC236}">
              <a16:creationId xmlns:a16="http://schemas.microsoft.com/office/drawing/2014/main" id="{E10E269D-B777-48F3-8074-670DD5147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847726"/>
          <a:ext cx="2152650" cy="990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2020/CIRTA%202020%20Budget%20FD%20Sept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 revenue"/>
      <sheetName val="2020 Revenue"/>
      <sheetName val="Questions"/>
      <sheetName val="Total budget (2)"/>
      <sheetName val="Total budget"/>
      <sheetName val="salaries"/>
      <sheetName val="budget 2016"/>
      <sheetName val="staff including ED"/>
      <sheetName val="budget Exclud ED and 3% raises"/>
      <sheetName val="Staff exlud ED with 3% raises"/>
      <sheetName val="budget Exclud ED and 4% raises"/>
      <sheetName val="Staff exclud ED with 4% raises"/>
      <sheetName val="summary of impact of raises"/>
      <sheetName val="2020 staff budget"/>
      <sheetName val="Calculations"/>
      <sheetName val="budget transactions as of 4-13"/>
      <sheetName val="proposed 2017 staff budget"/>
      <sheetName val="Mobilty Mgt 2019"/>
      <sheetName val="Mobility Management "/>
      <sheetName val="9-23-18 BUDGET ASSUMPTIONS"/>
      <sheetName val="2019 budget"/>
    </sheetNames>
    <sheetDataSet>
      <sheetData sheetId="0"/>
      <sheetData sheetId="1"/>
      <sheetData sheetId="2"/>
      <sheetData sheetId="3"/>
      <sheetData sheetId="4">
        <row r="36">
          <cell r="E36">
            <v>5000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elissa Henderson" id="{0AADC6ED-E944-461B-ADCF-5BEE35DD28F1}" userId="S::mhenderson@KSMConsulting.com::448d883b-65cf-4843-8931-43455432fc4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4" dT="2019-10-31T18:46:44.77" personId="{0AADC6ED-E944-461B-ADCF-5BEE35DD28F1}" id="{F34C673E-24D2-4460-A8D0-16497771EEC6}">
    <text>Prom &amp; Trip Spark</text>
  </threadedComment>
  <threadedComment ref="H45" dT="2019-10-31T17:24:45.52" personId="{0AADC6ED-E944-461B-ADCF-5BEE35DD28F1}" id="{03570C11-500D-455C-AB44-3F0371785BE4}">
    <text>Connect Think</text>
  </threadedComment>
  <threadedComment ref="J86" dT="2019-10-31T18:47:06.07" personId="{0AADC6ED-E944-461B-ADCF-5BEE35DD28F1}" id="{1A328B64-8F5C-4C02-9C54-593FCA2AE37A}">
    <text>ITA, Amazon</text>
  </threadedComment>
  <threadedComment ref="P86" dT="2019-10-31T19:36:51.33" personId="{0AADC6ED-E944-461B-ADCF-5BEE35DD28F1}" id="{9C82EFB0-1204-4425-AEF2-CD8206CC32FD}">
    <text>Includes CTA, County C of C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17" dT="2020-12-04T14:17:37.86" personId="{0AADC6ED-E944-461B-ADCF-5BEE35DD28F1}" id="{D8DEC864-C5FF-4160-85A7-ADAC2B57892C}">
    <text>Includes bus shelters grant</text>
  </threadedComment>
  <threadedComment ref="I21" dT="2020-10-16T18:17:53.94" personId="{0AADC6ED-E944-461B-ADCF-5BEE35DD28F1}" id="{BE0C2E75-D751-4BA7-A18D-BC4C1127BF51}">
    <text>Contribution estimated $464,000</text>
  </threadedComment>
  <threadedComment ref="I22" dT="2020-09-14T13:57:38.33" personId="{0AADC6ED-E944-461B-ADCF-5BEE35DD28F1}" id="{008EEF7F-4117-438D-97E6-5B7C902B25AB}">
    <text>Amazon reimbursement $5000/month beg March 2020</text>
  </threadedComment>
  <threadedComment ref="I42" dT="2020-09-15T14:51:35.23" personId="{0AADC6ED-E944-461B-ADCF-5BEE35DD28F1}" id="{BF8B99CF-B251-45DA-82C1-7D015604240F}">
    <text>Monthly charge for Promethius</text>
  </threadedComment>
  <threadedComment ref="I43" dT="2020-09-15T14:33:41.54" personId="{0AADC6ED-E944-461B-ADCF-5BEE35DD28F1}" id="{BB5EA935-BDA5-4C2E-864F-64AD381E2A2A}">
    <text>KSMC APP Developer</text>
  </threadedComment>
  <threadedComment ref="I43" dT="2020-09-15T14:53:38.45" personId="{0AADC6ED-E944-461B-ADCF-5BEE35DD28F1}" id="{DA28E6B1-C67A-4005-B729-0F5D9C1197D1}" parentId="{BB5EA935-BDA5-4C2E-864F-64AD381E2A2A}">
    <text>and includes TripSpark</text>
  </threadedComment>
  <threadedComment ref="I55" dT="2020-09-15T16:18:23.07" personId="{0AADC6ED-E944-461B-ADCF-5BEE35DD28F1}" id="{7D13EC70-C430-44B2-9C6F-CE684D772572}">
    <text>$3000 for Jen and $1800 for DR</text>
  </threadedComment>
  <threadedComment ref="I56" dT="2020-09-15T16:22:34.96" personId="{0AADC6ED-E944-461B-ADCF-5BEE35DD28F1}" id="{23A8C0BF-295B-4FFC-9083-12C20578348B}">
    <text>Affirm contract - media buys</text>
  </threadedComment>
  <threadedComment ref="I56" dT="2020-09-15T16:25:21.68" personId="{0AADC6ED-E944-461B-ADCF-5BEE35DD28F1}" id="{171E8CBB-3849-47E9-A59D-3D18B2595F41}" parentId="{23A8C0BF-295B-4FFC-9083-12C20578348B}">
    <text>marketing supplies</text>
  </threadedComment>
  <threadedComment ref="I63" dT="2020-09-15T16:01:24.50" personId="{0AADC6ED-E944-461B-ADCF-5BEE35DD28F1}" id="{3E350788-C5FE-4E81-9602-5C8C58E275B3}">
    <text>Wells fargo</text>
  </threadedComment>
  <threadedComment ref="I65" dT="2020-09-15T16:01:08.05" personId="{0AADC6ED-E944-461B-ADCF-5BEE35DD28F1}" id="{5E13A2F5-75C6-4FA5-A47B-C3A2DA63A01A}">
    <text>Includes van for CC</text>
  </threadedComment>
  <threadedComment ref="K79" dT="2019-10-31T18:47:06.07" personId="{0AADC6ED-E944-461B-ADCF-5BEE35DD28F1}" id="{F5FAF86F-6A48-4417-A2EF-C1DB4FA0F98F}">
    <text>ITA, Amazon</text>
  </threadedComment>
  <threadedComment ref="S79" dT="2019-10-31T19:36:51.33" personId="{0AADC6ED-E944-461B-ADCF-5BEE35DD28F1}" id="{30033EB0-7719-44CE-8FAF-31A5851DCA01}">
    <text>Includes CTA, County C of C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21" dT="2020-10-16T18:17:53.94" personId="{0AADC6ED-E944-461B-ADCF-5BEE35DD28F1}" id="{64B25162-D75D-4826-8216-DDE61CAC32B2}">
    <text>Contribution estimated $464,000</text>
  </threadedComment>
  <threadedComment ref="J22" dT="2020-09-14T13:57:38.33" personId="{0AADC6ED-E944-461B-ADCF-5BEE35DD28F1}" id="{2B6FFCFA-A303-4334-A24B-9DBB8E058109}">
    <text>Amazon reimbursement $5000/month beg March 2020</text>
  </threadedComment>
  <threadedComment ref="G23" dT="2020-10-13T18:29:15.95" personId="{0AADC6ED-E944-461B-ADCF-5BEE35DD28F1}" id="{3A4251A0-C976-44F6-94A3-175E1F4CB326}">
    <text>Interest Income</text>
  </threadedComment>
  <threadedComment ref="J42" dT="2020-09-15T14:51:35.23" personId="{0AADC6ED-E944-461B-ADCF-5BEE35DD28F1}" id="{F61E5AC6-CA44-4189-A8D7-C69540F4E835}">
    <text>Monthly charge for Promethius</text>
  </threadedComment>
  <threadedComment ref="J43" dT="2020-09-15T14:33:41.54" personId="{0AADC6ED-E944-461B-ADCF-5BEE35DD28F1}" id="{012F07DA-9481-450E-B8AB-416EE06FAF4F}">
    <text>KSMC APP Developer</text>
  </threadedComment>
  <threadedComment ref="J43" dT="2020-09-15T14:53:38.45" personId="{0AADC6ED-E944-461B-ADCF-5BEE35DD28F1}" id="{2FD87CB8-9A8D-4E74-82A0-75AFF49772D8}" parentId="{012F07DA-9481-450E-B8AB-416EE06FAF4F}">
    <text>and includes TripSpark</text>
  </threadedComment>
  <threadedComment ref="J55" dT="2020-09-15T16:18:23.07" personId="{0AADC6ED-E944-461B-ADCF-5BEE35DD28F1}" id="{34C495FD-259E-4DA4-BE8A-5D8D73ACD00F}">
    <text>$3000 for Jen and $1800 for DR</text>
  </threadedComment>
  <threadedComment ref="J56" dT="2020-09-15T16:22:34.96" personId="{0AADC6ED-E944-461B-ADCF-5BEE35DD28F1}" id="{258CE2CD-4792-463B-A10E-BD415CF780BD}">
    <text>Affirm contract - media buys</text>
  </threadedComment>
  <threadedComment ref="J56" dT="2020-09-15T16:25:21.68" personId="{0AADC6ED-E944-461B-ADCF-5BEE35DD28F1}" id="{B6DE037F-4623-4964-B08E-08D783225CCF}" parentId="{258CE2CD-4792-463B-A10E-BD415CF780BD}">
    <text>marketing supplies</text>
  </threadedComment>
  <threadedComment ref="J63" dT="2020-09-15T16:01:24.50" personId="{0AADC6ED-E944-461B-ADCF-5BEE35DD28F1}" id="{B2AF7B39-00F3-496E-9C76-6B38FC7B83FB}">
    <text>Wells fargo</text>
  </threadedComment>
  <threadedComment ref="J65" dT="2020-09-15T16:01:08.05" personId="{0AADC6ED-E944-461B-ADCF-5BEE35DD28F1}" id="{13303CC9-A0BA-4F91-A1D3-F918800B536D}">
    <text>Includes van for CC</text>
  </threadedComment>
  <threadedComment ref="L79" dT="2019-10-31T18:47:06.07" personId="{0AADC6ED-E944-461B-ADCF-5BEE35DD28F1}" id="{0D1865FA-0303-4B04-971F-4C23A5D643E9}">
    <text>ITA, Amazon</text>
  </threadedComment>
  <threadedComment ref="T79" dT="2019-10-31T19:36:51.33" personId="{0AADC6ED-E944-461B-ADCF-5BEE35DD28F1}" id="{189F1C8F-AF63-4594-A43B-676340447914}">
    <text>Includes CTA, County C of C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44" dT="2019-10-31T18:46:44.77" personId="{0AADC6ED-E944-461B-ADCF-5BEE35DD28F1}" id="{21C45E3A-3157-4C97-9FB2-FA17997988A5}">
    <text>Prom &amp; Trip Spark</text>
  </threadedComment>
  <threadedComment ref="E45" dT="2019-10-31T17:24:45.52" personId="{0AADC6ED-E944-461B-ADCF-5BEE35DD28F1}" id="{3692967B-3C2C-4928-8614-16281BC669D7}">
    <text>Connect Think</text>
  </threadedComment>
  <threadedComment ref="K85" dT="2019-10-31T18:47:06.07" personId="{0AADC6ED-E944-461B-ADCF-5BEE35DD28F1}" id="{93D9D003-7EC3-41A7-A931-E39809EDD3B7}">
    <text>ITA, Amazon</text>
  </threadedComment>
  <threadedComment ref="W85" dT="2019-10-31T19:36:51.33" personId="{0AADC6ED-E944-461B-ADCF-5BEE35DD28F1}" id="{F2FA4A90-64F8-4C41-970F-0146173EF4F3}">
    <text>Includes CTA, County C of C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E44" dT="2019-10-31T18:46:44.77" personId="{0AADC6ED-E944-461B-ADCF-5BEE35DD28F1}" id="{E29ED9B2-8CCE-44AF-B597-E3157C5EEFEE}">
    <text>Prom &amp; Trip Spark</text>
  </threadedComment>
  <threadedComment ref="E45" dT="2019-10-31T17:24:45.52" personId="{0AADC6ED-E944-461B-ADCF-5BEE35DD28F1}" id="{78B39DA5-14E4-4E28-B761-5630DE83E6AB}">
    <text>Connect Think</text>
  </threadedComment>
  <threadedComment ref="J85" dT="2019-10-31T18:47:06.07" personId="{0AADC6ED-E944-461B-ADCF-5BEE35DD28F1}" id="{DA2812EE-EE61-4B43-8B13-0F05697BAC0E}">
    <text>ITA, Amazon</text>
  </threadedComment>
  <threadedComment ref="P85" dT="2019-10-31T19:36:51.33" personId="{0AADC6ED-E944-461B-ADCF-5BEE35DD28F1}" id="{A635705A-D41F-4D5B-9C3D-9FA73911DF8F}">
    <text>Includes CTA, County C of C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EE02-7DBA-4814-BE46-29E00EB9B35B}">
  <dimension ref="A1:V112"/>
  <sheetViews>
    <sheetView workbookViewId="0">
      <pane xSplit="1" ySplit="9" topLeftCell="D22" activePane="bottomRight" state="frozen"/>
      <selection pane="topRight" activeCell="B1" sqref="B1"/>
      <selection pane="bottomLeft" activeCell="A10" sqref="A10"/>
      <selection pane="bottomRight" activeCell="E39" sqref="E39"/>
    </sheetView>
  </sheetViews>
  <sheetFormatPr defaultColWidth="8.86328125" defaultRowHeight="14.25" x14ac:dyDescent="0.45"/>
  <cols>
    <col min="1" max="1" width="21.1328125" customWidth="1"/>
    <col min="2" max="2" width="3.3984375" customWidth="1"/>
    <col min="3" max="3" width="45.265625" customWidth="1"/>
    <col min="4" max="4" width="12.9296875" customWidth="1"/>
    <col min="5" max="5" width="14.33203125" customWidth="1"/>
    <col min="6" max="6" width="12.59765625" customWidth="1"/>
    <col min="7" max="7" width="13" style="1" customWidth="1"/>
    <col min="8" max="9" width="12.3984375" customWidth="1"/>
    <col min="10" max="12" width="10.73046875" customWidth="1"/>
    <col min="13" max="13" width="15.19921875" customWidth="1"/>
    <col min="14" max="14" width="14.1328125" style="2" bestFit="1" customWidth="1"/>
    <col min="15" max="15" width="12.73046875" bestFit="1" customWidth="1"/>
    <col min="16" max="16" width="10.86328125" style="3" customWidth="1"/>
    <col min="17" max="17" width="18.3984375" style="3" bestFit="1" customWidth="1"/>
    <col min="18" max="18" width="18.3984375" style="3" customWidth="1"/>
    <col min="19" max="20" width="10.86328125" style="3" customWidth="1"/>
    <col min="21" max="21" width="11" style="3" bestFit="1" customWidth="1"/>
    <col min="22" max="22" width="8.86328125" style="4"/>
  </cols>
  <sheetData>
    <row r="1" spans="1:22" x14ac:dyDescent="0.45">
      <c r="C1" t="s">
        <v>0</v>
      </c>
    </row>
    <row r="2" spans="1:22" x14ac:dyDescent="0.45">
      <c r="C2" s="5" t="s">
        <v>0</v>
      </c>
    </row>
    <row r="3" spans="1:22" x14ac:dyDescent="0.45">
      <c r="I3" s="6">
        <v>0.06</v>
      </c>
      <c r="J3" t="s">
        <v>2</v>
      </c>
      <c r="K3" s="7">
        <v>7000</v>
      </c>
      <c r="L3" s="7"/>
    </row>
    <row r="4" spans="1:22" x14ac:dyDescent="0.45">
      <c r="G4" s="1" t="s">
        <v>0</v>
      </c>
      <c r="I4" s="8">
        <v>3.1300000000000001E-2</v>
      </c>
      <c r="J4" t="s">
        <v>3</v>
      </c>
      <c r="K4" s="7">
        <v>9500</v>
      </c>
      <c r="L4" s="7"/>
      <c r="N4" s="2" t="s">
        <v>0</v>
      </c>
    </row>
    <row r="5" spans="1:22" x14ac:dyDescent="0.45">
      <c r="C5" t="s">
        <v>0</v>
      </c>
      <c r="G5" s="9"/>
      <c r="N5" s="9"/>
      <c r="R5" s="10"/>
      <c r="S5" s="10"/>
      <c r="T5" s="10"/>
      <c r="U5" s="10"/>
      <c r="V5" s="11"/>
    </row>
    <row r="6" spans="1:22" ht="21" x14ac:dyDescent="0.65">
      <c r="C6" s="12" t="s">
        <v>0</v>
      </c>
      <c r="D6" s="12"/>
      <c r="G6" s="3"/>
      <c r="J6" s="13" t="s">
        <v>0</v>
      </c>
      <c r="N6" s="270" t="s">
        <v>6</v>
      </c>
    </row>
    <row r="7" spans="1:22" x14ac:dyDescent="0.45">
      <c r="E7" s="15"/>
      <c r="F7" s="15"/>
      <c r="G7" s="16"/>
      <c r="N7" s="271" t="s">
        <v>7</v>
      </c>
      <c r="T7" s="18"/>
      <c r="U7" s="18"/>
    </row>
    <row r="8" spans="1:22" ht="26.65" x14ac:dyDescent="0.45">
      <c r="D8" s="3" t="s">
        <v>8</v>
      </c>
      <c r="E8" s="98" t="s">
        <v>9</v>
      </c>
      <c r="F8" s="252" t="s">
        <v>10</v>
      </c>
      <c r="G8" s="21" t="s">
        <v>11</v>
      </c>
      <c r="H8" s="22">
        <v>7.6499999999999999E-2</v>
      </c>
      <c r="I8" s="22">
        <v>0.14199999999999999</v>
      </c>
      <c r="J8" s="22" t="s">
        <v>0</v>
      </c>
      <c r="K8" s="23">
        <v>2.7000000000000001E-3</v>
      </c>
      <c r="L8" s="23"/>
      <c r="M8" s="267" t="s">
        <v>12</v>
      </c>
      <c r="N8" s="271" t="s">
        <v>13</v>
      </c>
    </row>
    <row r="9" spans="1:22" x14ac:dyDescent="0.45">
      <c r="D9" s="25" t="s">
        <v>0</v>
      </c>
      <c r="E9" s="25" t="s">
        <v>0</v>
      </c>
      <c r="F9" s="25"/>
      <c r="G9" s="26" t="s">
        <v>169</v>
      </c>
      <c r="H9" s="27" t="s">
        <v>15</v>
      </c>
      <c r="I9" s="27" t="s">
        <v>16</v>
      </c>
      <c r="J9" s="28" t="s">
        <v>17</v>
      </c>
      <c r="K9" s="29" t="s">
        <v>18</v>
      </c>
      <c r="L9" s="29" t="s">
        <v>179</v>
      </c>
      <c r="M9" s="29" t="s">
        <v>19</v>
      </c>
      <c r="N9" s="272" t="s">
        <v>19</v>
      </c>
      <c r="O9" s="32" t="s">
        <v>20</v>
      </c>
      <c r="V9" s="33"/>
    </row>
    <row r="10" spans="1:22" x14ac:dyDescent="0.45">
      <c r="C10" s="34" t="s">
        <v>21</v>
      </c>
      <c r="D10" s="1"/>
      <c r="E10" s="35"/>
      <c r="F10" s="3"/>
      <c r="G10" s="36"/>
      <c r="H10" s="37"/>
      <c r="I10" s="37"/>
      <c r="J10" s="37"/>
      <c r="K10" s="37"/>
      <c r="L10" s="37"/>
      <c r="M10" s="37"/>
      <c r="N10" s="273"/>
      <c r="O10" s="3"/>
      <c r="V10" s="33"/>
    </row>
    <row r="11" spans="1:22" s="40" customFormat="1" x14ac:dyDescent="0.45">
      <c r="A11" s="39" t="s">
        <v>22</v>
      </c>
      <c r="B11" s="39"/>
      <c r="C11" s="40" t="s">
        <v>180</v>
      </c>
      <c r="D11" s="41" t="s">
        <v>0</v>
      </c>
      <c r="E11" s="42">
        <v>100000</v>
      </c>
      <c r="F11" s="43">
        <v>100000</v>
      </c>
      <c r="G11" s="44">
        <f>+E11</f>
        <v>100000</v>
      </c>
      <c r="H11" s="53">
        <f t="shared" ref="H11:H17" si="0">SUM($G11)*$H$8</f>
        <v>7650</v>
      </c>
      <c r="I11" s="53">
        <f t="shared" ref="I11:I17" si="1">SUM($G11)*I$8</f>
        <v>14199.999999999998</v>
      </c>
      <c r="J11" s="53">
        <f>(7000*6%)+(9500*3.13%)</f>
        <v>717.35</v>
      </c>
      <c r="K11" s="45">
        <f t="shared" ref="K11:K17" si="2">G11*$K$8</f>
        <v>270</v>
      </c>
      <c r="L11" s="250">
        <f>30.77*26</f>
        <v>800.02</v>
      </c>
      <c r="M11" s="268">
        <v>0</v>
      </c>
      <c r="N11" s="274">
        <f>(M11*15%)+M11</f>
        <v>0</v>
      </c>
      <c r="O11" s="43">
        <f>+G11+H11+I11+J11+K11+L11+N11</f>
        <v>123637.37000000001</v>
      </c>
      <c r="P11" s="47"/>
      <c r="Q11" s="47"/>
      <c r="R11" s="47"/>
      <c r="S11" s="47"/>
      <c r="T11" s="47"/>
      <c r="U11" s="47"/>
      <c r="V11" s="48"/>
    </row>
    <row r="12" spans="1:22" x14ac:dyDescent="0.45">
      <c r="A12" s="51" t="s">
        <v>170</v>
      </c>
      <c r="B12" s="51"/>
      <c r="C12" t="s">
        <v>26</v>
      </c>
      <c r="D12" s="178">
        <f>33.6539*2080</f>
        <v>70000.111999999994</v>
      </c>
      <c r="E12" s="42">
        <f>2692.31*26</f>
        <v>70000.06</v>
      </c>
      <c r="F12" s="43">
        <f>((E12*3%)+E12)</f>
        <v>72100.061799999996</v>
      </c>
      <c r="G12" s="44">
        <f>+F12</f>
        <v>72100.061799999996</v>
      </c>
      <c r="H12" s="53">
        <f t="shared" si="0"/>
        <v>5515.6547277</v>
      </c>
      <c r="I12" s="53">
        <f t="shared" si="1"/>
        <v>10238.208775599998</v>
      </c>
      <c r="J12" s="53">
        <f t="shared" ref="J12:J17" si="3">(7000*6%)+(9500*3.13%)</f>
        <v>717.35</v>
      </c>
      <c r="K12" s="45">
        <f t="shared" si="2"/>
        <v>194.67016685999999</v>
      </c>
      <c r="L12" s="250">
        <f t="shared" ref="L12:L17" si="4">30.77*26</f>
        <v>800.02</v>
      </c>
      <c r="M12" s="268">
        <f>(38.92+3.05)*26</f>
        <v>1091.22</v>
      </c>
      <c r="N12" s="274">
        <f>(M12*4%)+M12</f>
        <v>1134.8688</v>
      </c>
      <c r="O12" s="43">
        <f t="shared" ref="O12:O17" si="5">+G12+H12+I12+J12+K12+L12+N12</f>
        <v>90700.834270160005</v>
      </c>
      <c r="P12" s="55"/>
      <c r="Q12" s="249"/>
      <c r="R12" s="55"/>
      <c r="S12" s="55"/>
      <c r="T12" s="55"/>
      <c r="U12" s="55"/>
      <c r="V12" s="56"/>
    </row>
    <row r="13" spans="1:22" x14ac:dyDescent="0.45">
      <c r="A13" s="51" t="s">
        <v>172</v>
      </c>
      <c r="B13" s="51"/>
      <c r="C13" t="s">
        <v>176</v>
      </c>
      <c r="D13" s="178">
        <f>28.8461*2080</f>
        <v>59999.887999999999</v>
      </c>
      <c r="E13" s="42">
        <f>2307.69*26</f>
        <v>59999.94</v>
      </c>
      <c r="F13" s="43">
        <f t="shared" ref="F13:F17" si="6">((E13*3%)+E13)</f>
        <v>61799.938200000004</v>
      </c>
      <c r="G13" s="44">
        <f t="shared" ref="G13:G17" si="7">+F13</f>
        <v>61799.938200000004</v>
      </c>
      <c r="H13" s="53">
        <f t="shared" si="0"/>
        <v>4727.6952723000004</v>
      </c>
      <c r="I13" s="53">
        <f t="shared" si="1"/>
        <v>8775.5912243999992</v>
      </c>
      <c r="J13" s="53">
        <f t="shared" si="3"/>
        <v>717.35</v>
      </c>
      <c r="K13" s="45">
        <f t="shared" si="2"/>
        <v>166.85983314000001</v>
      </c>
      <c r="L13" s="250">
        <f t="shared" si="4"/>
        <v>800.02</v>
      </c>
      <c r="M13" s="268">
        <f>1090.03*26</f>
        <v>28340.78</v>
      </c>
      <c r="N13" s="274">
        <f>(M13*4%)+M13</f>
        <v>29474.411199999999</v>
      </c>
      <c r="O13" s="43">
        <f t="shared" si="5"/>
        <v>106461.86572984001</v>
      </c>
      <c r="P13" s="55"/>
      <c r="Q13" s="55"/>
      <c r="R13" s="55"/>
      <c r="S13" s="55"/>
      <c r="T13" s="55"/>
      <c r="U13" s="55"/>
      <c r="V13" s="56"/>
    </row>
    <row r="14" spans="1:22" x14ac:dyDescent="0.45">
      <c r="A14" s="51" t="s">
        <v>174</v>
      </c>
      <c r="B14" s="51"/>
      <c r="C14" t="s">
        <v>178</v>
      </c>
      <c r="D14" s="178">
        <f>24.0385*2080</f>
        <v>50000.08</v>
      </c>
      <c r="E14" s="42">
        <f>1923.08*26</f>
        <v>50000.08</v>
      </c>
      <c r="F14" s="43">
        <f t="shared" si="6"/>
        <v>51500.082399999999</v>
      </c>
      <c r="G14" s="44">
        <f t="shared" si="7"/>
        <v>51500.082399999999</v>
      </c>
      <c r="H14" s="53">
        <f t="shared" si="0"/>
        <v>3939.7563035999997</v>
      </c>
      <c r="I14" s="53">
        <f t="shared" si="1"/>
        <v>7313.0117007999988</v>
      </c>
      <c r="J14" s="53">
        <f t="shared" si="3"/>
        <v>717.35</v>
      </c>
      <c r="K14" s="45">
        <f t="shared" si="2"/>
        <v>139.05022248</v>
      </c>
      <c r="L14" s="250">
        <f t="shared" si="4"/>
        <v>800.02</v>
      </c>
      <c r="M14" s="268">
        <v>0</v>
      </c>
      <c r="N14" s="274">
        <f t="shared" ref="N14:N17" si="8">(M14*4%)+M14</f>
        <v>0</v>
      </c>
      <c r="O14" s="43">
        <f t="shared" si="5"/>
        <v>64409.270626879996</v>
      </c>
      <c r="P14" s="55"/>
      <c r="Q14" s="55"/>
      <c r="R14" s="55"/>
      <c r="S14" s="55"/>
      <c r="T14" s="55"/>
      <c r="U14" s="55"/>
      <c r="V14" s="56"/>
    </row>
    <row r="15" spans="1:22" x14ac:dyDescent="0.45">
      <c r="A15" s="57" t="s">
        <v>173</v>
      </c>
      <c r="B15" s="57"/>
      <c r="C15" t="s">
        <v>175</v>
      </c>
      <c r="D15" s="178">
        <f>25*2080</f>
        <v>52000</v>
      </c>
      <c r="E15" s="42">
        <v>52000</v>
      </c>
      <c r="F15" s="43">
        <f t="shared" si="6"/>
        <v>53560</v>
      </c>
      <c r="G15" s="44">
        <f t="shared" si="7"/>
        <v>53560</v>
      </c>
      <c r="H15" s="53">
        <f t="shared" si="0"/>
        <v>4097.34</v>
      </c>
      <c r="I15" s="53">
        <f t="shared" si="1"/>
        <v>7605.5199999999995</v>
      </c>
      <c r="J15" s="53">
        <f t="shared" si="3"/>
        <v>717.35</v>
      </c>
      <c r="K15" s="45">
        <f t="shared" si="2"/>
        <v>144.61199999999999</v>
      </c>
      <c r="L15" s="250">
        <f t="shared" si="4"/>
        <v>800.02</v>
      </c>
      <c r="M15" s="268">
        <v>0</v>
      </c>
      <c r="N15" s="274">
        <f t="shared" si="8"/>
        <v>0</v>
      </c>
      <c r="O15" s="43">
        <f t="shared" si="5"/>
        <v>66924.84199999999</v>
      </c>
      <c r="P15" s="55"/>
      <c r="Q15" s="55"/>
      <c r="R15" s="55"/>
      <c r="S15" s="55"/>
      <c r="T15" s="55"/>
      <c r="U15" s="55"/>
      <c r="V15" s="56"/>
    </row>
    <row r="16" spans="1:22" x14ac:dyDescent="0.45">
      <c r="A16" s="51" t="s">
        <v>171</v>
      </c>
      <c r="B16" s="51"/>
      <c r="C16" t="s">
        <v>178</v>
      </c>
      <c r="D16" s="178">
        <f>25*2080</f>
        <v>52000</v>
      </c>
      <c r="E16" s="42">
        <f>2000*26</f>
        <v>52000</v>
      </c>
      <c r="F16" s="43">
        <f t="shared" si="6"/>
        <v>53560</v>
      </c>
      <c r="G16" s="44">
        <f t="shared" si="7"/>
        <v>53560</v>
      </c>
      <c r="H16" s="53">
        <f t="shared" si="0"/>
        <v>4097.34</v>
      </c>
      <c r="I16" s="53">
        <f t="shared" si="1"/>
        <v>7605.5199999999995</v>
      </c>
      <c r="J16" s="53">
        <f t="shared" si="3"/>
        <v>717.35</v>
      </c>
      <c r="K16" s="45">
        <f t="shared" si="2"/>
        <v>144.61199999999999</v>
      </c>
      <c r="L16" s="250">
        <f t="shared" si="4"/>
        <v>800.02</v>
      </c>
      <c r="M16" s="268">
        <f>506.85*26</f>
        <v>13178.1</v>
      </c>
      <c r="N16" s="274">
        <f t="shared" si="8"/>
        <v>13705.224</v>
      </c>
      <c r="O16" s="43">
        <f t="shared" si="5"/>
        <v>80630.065999999992</v>
      </c>
      <c r="P16" s="55"/>
      <c r="Q16" s="55"/>
      <c r="R16" s="55"/>
      <c r="S16" s="55"/>
      <c r="T16" s="55"/>
      <c r="U16" s="55"/>
      <c r="V16" s="56"/>
    </row>
    <row r="17" spans="1:22" x14ac:dyDescent="0.45">
      <c r="A17" s="51" t="s">
        <v>35</v>
      </c>
      <c r="B17" s="51"/>
      <c r="C17" t="s">
        <v>177</v>
      </c>
      <c r="D17" s="178">
        <f>17.51*2080</f>
        <v>36420.800000000003</v>
      </c>
      <c r="E17" s="42">
        <v>36421</v>
      </c>
      <c r="F17" s="43">
        <f t="shared" si="6"/>
        <v>37513.629999999997</v>
      </c>
      <c r="G17" s="44">
        <f t="shared" si="7"/>
        <v>37513.629999999997</v>
      </c>
      <c r="H17" s="53">
        <f t="shared" si="0"/>
        <v>2869.7926949999996</v>
      </c>
      <c r="I17" s="53">
        <f t="shared" si="1"/>
        <v>5326.9354599999988</v>
      </c>
      <c r="J17" s="53">
        <f t="shared" si="3"/>
        <v>717.35</v>
      </c>
      <c r="K17" s="45">
        <f t="shared" si="2"/>
        <v>101.286801</v>
      </c>
      <c r="L17" s="250">
        <f t="shared" si="4"/>
        <v>800.02</v>
      </c>
      <c r="M17" s="268">
        <f>(343.64-19.81)*26</f>
        <v>8419.58</v>
      </c>
      <c r="N17" s="274">
        <f t="shared" si="8"/>
        <v>8756.3631999999998</v>
      </c>
      <c r="O17" s="43">
        <f t="shared" si="5"/>
        <v>56085.378155999992</v>
      </c>
      <c r="P17" s="55"/>
      <c r="Q17" s="55"/>
      <c r="R17" s="55"/>
      <c r="S17" s="55"/>
      <c r="T17" s="55"/>
      <c r="U17" s="55"/>
      <c r="V17" s="56"/>
    </row>
    <row r="18" spans="1:22" ht="14.65" thickBot="1" x14ac:dyDescent="0.5">
      <c r="A18" s="51"/>
      <c r="B18" s="51"/>
      <c r="C18" s="62"/>
      <c r="D18" s="63" t="s">
        <v>0</v>
      </c>
      <c r="E18" s="64">
        <f t="shared" ref="E18:O18" si="9">SUM(E11:E17)</f>
        <v>420421.08</v>
      </c>
      <c r="F18" s="63">
        <f t="shared" si="9"/>
        <v>430033.71240000002</v>
      </c>
      <c r="G18" s="67">
        <f t="shared" si="9"/>
        <v>430033.71240000002</v>
      </c>
      <c r="H18" s="65">
        <f t="shared" si="9"/>
        <v>32897.578998599995</v>
      </c>
      <c r="I18" s="65">
        <f t="shared" si="9"/>
        <v>61064.787160799991</v>
      </c>
      <c r="J18" s="65">
        <f t="shared" si="9"/>
        <v>5021.4500000000007</v>
      </c>
      <c r="K18" s="65">
        <f t="shared" si="9"/>
        <v>1161.0910234799999</v>
      </c>
      <c r="L18" s="65">
        <f t="shared" si="9"/>
        <v>5600.1399999999994</v>
      </c>
      <c r="M18" s="269">
        <f t="shared" si="9"/>
        <v>51029.68</v>
      </c>
      <c r="N18" s="66">
        <f t="shared" si="9"/>
        <v>53070.867200000001</v>
      </c>
      <c r="O18" s="63">
        <f t="shared" si="9"/>
        <v>588849.62678287993</v>
      </c>
      <c r="P18" s="55"/>
      <c r="Q18" s="55"/>
      <c r="R18" s="55"/>
      <c r="S18" s="55"/>
      <c r="T18" s="55"/>
      <c r="U18" s="55"/>
      <c r="V18"/>
    </row>
    <row r="19" spans="1:22" ht="14.65" thickTop="1" x14ac:dyDescent="0.45">
      <c r="G19"/>
      <c r="H19" s="68"/>
      <c r="I19" s="15"/>
      <c r="J19" s="15"/>
      <c r="K19" s="15"/>
      <c r="L19" s="15"/>
      <c r="M19" s="15"/>
      <c r="N19" s="69"/>
      <c r="O19" s="52">
        <f>+G18+H18+I18+J18+K18+N18+L18</f>
        <v>588849.62678288005</v>
      </c>
      <c r="P19" s="55"/>
      <c r="Q19" s="55"/>
      <c r="R19" s="55"/>
      <c r="S19" s="55"/>
      <c r="T19" s="55"/>
      <c r="U19" s="55"/>
      <c r="V19"/>
    </row>
    <row r="20" spans="1:22" x14ac:dyDescent="0.45">
      <c r="E20" s="15"/>
      <c r="F20" s="15"/>
      <c r="G20" s="16"/>
      <c r="H20" s="15"/>
      <c r="I20" s="70"/>
      <c r="J20" s="15"/>
      <c r="K20" s="15"/>
      <c r="L20" s="15"/>
      <c r="M20" s="15"/>
      <c r="N20" s="69"/>
      <c r="O20" s="153">
        <f>-L18</f>
        <v>-5600.1399999999994</v>
      </c>
      <c r="P20" s="55"/>
      <c r="Q20" s="55"/>
      <c r="R20" s="55"/>
      <c r="S20" s="55"/>
      <c r="T20" s="55"/>
      <c r="U20" s="55"/>
      <c r="V20"/>
    </row>
    <row r="21" spans="1:22" x14ac:dyDescent="0.45">
      <c r="A21" t="s">
        <v>40</v>
      </c>
      <c r="E21" s="15"/>
      <c r="F21" s="15"/>
      <c r="G21" s="71"/>
      <c r="H21" s="68"/>
      <c r="I21" s="15"/>
      <c r="J21" s="15"/>
      <c r="K21" s="15"/>
      <c r="L21" s="15"/>
      <c r="M21" s="15"/>
      <c r="N21" s="69"/>
      <c r="O21" s="52">
        <f>SUM(O19:O20)</f>
        <v>583249.48678288003</v>
      </c>
      <c r="P21" s="55"/>
      <c r="Q21" s="55"/>
      <c r="R21" s="55"/>
      <c r="S21" s="55"/>
      <c r="T21" s="55"/>
      <c r="U21" s="55"/>
      <c r="V21"/>
    </row>
    <row r="22" spans="1:22" x14ac:dyDescent="0.45">
      <c r="C22" s="254" t="s">
        <v>41</v>
      </c>
      <c r="D22" s="253"/>
      <c r="E22" s="73" t="s">
        <v>42</v>
      </c>
      <c r="F22" s="73"/>
      <c r="G22" s="74" t="s">
        <v>43</v>
      </c>
      <c r="H22" s="73" t="s">
        <v>15</v>
      </c>
      <c r="I22" s="73" t="s">
        <v>16</v>
      </c>
      <c r="J22" s="251" t="s">
        <v>17</v>
      </c>
      <c r="K22" s="75" t="s">
        <v>18</v>
      </c>
      <c r="L22" s="260" t="s">
        <v>179</v>
      </c>
      <c r="M22" s="30" t="s">
        <v>181</v>
      </c>
      <c r="N22" s="262" t="s">
        <v>0</v>
      </c>
      <c r="O22" s="32" t="s">
        <v>20</v>
      </c>
      <c r="P22" s="55"/>
      <c r="Q22" s="55"/>
      <c r="R22" s="55"/>
      <c r="S22" s="55"/>
      <c r="T22" s="55"/>
      <c r="U22" s="55"/>
      <c r="V22"/>
    </row>
    <row r="23" spans="1:22" s="77" customFormat="1" x14ac:dyDescent="0.45">
      <c r="A23" s="76" t="s">
        <v>22</v>
      </c>
      <c r="B23" s="76"/>
      <c r="C23" s="40" t="s">
        <v>23</v>
      </c>
      <c r="E23" s="78">
        <f>+G11</f>
        <v>100000</v>
      </c>
      <c r="F23" s="79"/>
      <c r="G23" s="78">
        <f>+G11</f>
        <v>100000</v>
      </c>
      <c r="H23" s="78">
        <f t="shared" ref="H23:K23" si="10">+H11</f>
        <v>7650</v>
      </c>
      <c r="I23" s="78">
        <f t="shared" si="10"/>
        <v>14199.999999999998</v>
      </c>
      <c r="J23" s="78">
        <f t="shared" si="10"/>
        <v>717.35</v>
      </c>
      <c r="K23" s="78">
        <f t="shared" si="10"/>
        <v>270</v>
      </c>
      <c r="L23" s="78">
        <v>800</v>
      </c>
      <c r="M23" s="78">
        <f>+N11</f>
        <v>0</v>
      </c>
      <c r="N23" s="78">
        <v>0</v>
      </c>
      <c r="O23" s="80">
        <f>SUM(G23:N23)</f>
        <v>123637.35</v>
      </c>
      <c r="P23" s="82"/>
      <c r="Q23" s="82"/>
      <c r="R23" s="82"/>
      <c r="S23" s="82"/>
      <c r="T23" s="82"/>
      <c r="U23" s="82"/>
      <c r="V23" s="83"/>
    </row>
    <row r="24" spans="1:22" ht="14.65" thickBot="1" x14ac:dyDescent="0.5">
      <c r="E24" s="84">
        <f>SUM(E23:E23)</f>
        <v>100000</v>
      </c>
      <c r="F24" s="85"/>
      <c r="G24" s="84">
        <f>SUM(G23:G23)</f>
        <v>100000</v>
      </c>
      <c r="H24" s="84">
        <f>SUM(H23:H23)</f>
        <v>7650</v>
      </c>
      <c r="I24" s="84">
        <f>SUM(I23:I23)</f>
        <v>14199.999999999998</v>
      </c>
      <c r="J24" s="84">
        <f>SUM(J23:J23)</f>
        <v>717.35</v>
      </c>
      <c r="K24" s="84">
        <f>SUM(K23:K23)</f>
        <v>270</v>
      </c>
      <c r="L24" s="84">
        <f>SUM(L23)</f>
        <v>800</v>
      </c>
      <c r="M24" s="84">
        <f>SUM(M23)</f>
        <v>0</v>
      </c>
      <c r="N24" s="84">
        <f>SUM(N23)</f>
        <v>0</v>
      </c>
      <c r="O24" s="87">
        <f>SUM(O23:O23)</f>
        <v>123637.35</v>
      </c>
      <c r="P24" s="55"/>
      <c r="Q24" s="55"/>
      <c r="R24" s="55"/>
      <c r="S24" s="55"/>
      <c r="T24" s="55"/>
      <c r="U24" s="55"/>
      <c r="V24"/>
    </row>
    <row r="25" spans="1:22" ht="14.65" thickTop="1" x14ac:dyDescent="0.45">
      <c r="C25" s="248"/>
      <c r="E25" s="88"/>
      <c r="F25" s="88"/>
      <c r="G25" s="89"/>
      <c r="H25" s="88"/>
      <c r="I25" s="88"/>
      <c r="J25" s="88"/>
      <c r="K25" s="88"/>
      <c r="L25" s="88"/>
      <c r="M25" s="88"/>
      <c r="N25" s="90" t="s">
        <v>0</v>
      </c>
      <c r="O25" s="88"/>
      <c r="P25" s="55"/>
      <c r="Q25" s="55"/>
      <c r="R25" s="55"/>
      <c r="S25" s="55"/>
      <c r="T25" s="55"/>
      <c r="U25" s="55"/>
      <c r="V25"/>
    </row>
    <row r="26" spans="1:22" x14ac:dyDescent="0.45">
      <c r="C26" s="248"/>
      <c r="E26" s="88">
        <f>110*12</f>
        <v>1320</v>
      </c>
      <c r="F26" s="88"/>
      <c r="G26" s="89"/>
      <c r="H26" s="88"/>
      <c r="I26" s="88"/>
      <c r="J26" s="88"/>
      <c r="K26" s="88"/>
      <c r="L26" s="88"/>
      <c r="M26" s="88"/>
      <c r="N26" s="90" t="s">
        <v>0</v>
      </c>
      <c r="O26" s="88"/>
      <c r="P26" s="55"/>
      <c r="Q26" s="55"/>
      <c r="R26" s="55"/>
      <c r="S26" s="55"/>
      <c r="T26" s="55"/>
      <c r="U26" s="55"/>
      <c r="V26"/>
    </row>
    <row r="27" spans="1:22" x14ac:dyDescent="0.45">
      <c r="C27" s="248"/>
      <c r="E27" s="88"/>
      <c r="F27" s="88"/>
      <c r="G27" s="89"/>
      <c r="H27" s="88"/>
      <c r="I27" s="88"/>
      <c r="J27" s="88"/>
      <c r="K27" s="88"/>
      <c r="L27" s="88"/>
      <c r="M27" s="88"/>
      <c r="N27" s="90"/>
      <c r="O27" s="88"/>
      <c r="P27" s="55"/>
      <c r="Q27" s="55"/>
      <c r="R27" s="55"/>
      <c r="S27" s="55"/>
      <c r="T27" s="55"/>
      <c r="U27" s="55"/>
      <c r="V27"/>
    </row>
    <row r="28" spans="1:22" x14ac:dyDescent="0.45">
      <c r="C28" s="248"/>
      <c r="E28" s="88"/>
      <c r="F28" s="88"/>
      <c r="G28" s="89"/>
      <c r="H28" s="88"/>
      <c r="I28" s="88"/>
      <c r="J28" s="88"/>
      <c r="K28" s="88"/>
      <c r="L28" s="88"/>
      <c r="M28" s="88"/>
      <c r="N28" s="90"/>
      <c r="O28" s="88"/>
      <c r="P28" s="55"/>
      <c r="Q28" s="55"/>
      <c r="R28" s="55"/>
      <c r="S28" s="55"/>
      <c r="T28" s="55"/>
      <c r="U28" s="55"/>
      <c r="V28"/>
    </row>
    <row r="29" spans="1:22" x14ac:dyDescent="0.45">
      <c r="E29" s="15" t="s">
        <v>0</v>
      </c>
      <c r="F29" s="15"/>
      <c r="G29" s="16" t="s">
        <v>39</v>
      </c>
      <c r="H29" s="15"/>
      <c r="I29" s="15"/>
      <c r="J29" s="15"/>
      <c r="K29" s="15"/>
      <c r="L29" s="15"/>
      <c r="M29" s="15"/>
      <c r="N29" s="69"/>
      <c r="P29" s="55"/>
      <c r="Q29" s="55"/>
      <c r="R29" s="55"/>
      <c r="S29" s="55"/>
      <c r="T29" s="55"/>
      <c r="U29" s="55"/>
      <c r="V29"/>
    </row>
    <row r="30" spans="1:22" x14ac:dyDescent="0.45">
      <c r="E30" s="15"/>
      <c r="F30" s="15"/>
      <c r="G30" s="71">
        <v>0.03</v>
      </c>
      <c r="H30" s="15"/>
      <c r="I30" s="15"/>
      <c r="J30" s="15"/>
      <c r="K30" s="15"/>
      <c r="L30" s="15"/>
      <c r="M30" s="15"/>
      <c r="N30" s="69"/>
      <c r="P30" s="55"/>
      <c r="Q30" s="55"/>
      <c r="R30" s="55"/>
      <c r="S30" s="55"/>
      <c r="T30" s="55"/>
      <c r="U30" s="55"/>
      <c r="V30"/>
    </row>
    <row r="31" spans="1:22" x14ac:dyDescent="0.45">
      <c r="C31" s="255" t="s">
        <v>46</v>
      </c>
      <c r="D31" s="253"/>
      <c r="E31" s="73" t="s">
        <v>42</v>
      </c>
      <c r="F31" s="73"/>
      <c r="G31" s="74" t="s">
        <v>43</v>
      </c>
      <c r="H31" s="73" t="s">
        <v>15</v>
      </c>
      <c r="I31" s="73" t="s">
        <v>16</v>
      </c>
      <c r="J31" s="251" t="s">
        <v>17</v>
      </c>
      <c r="K31" s="75" t="s">
        <v>18</v>
      </c>
      <c r="L31" s="260" t="s">
        <v>179</v>
      </c>
      <c r="M31" s="30" t="s">
        <v>181</v>
      </c>
      <c r="N31" s="262" t="s">
        <v>0</v>
      </c>
      <c r="O31" s="32" t="s">
        <v>20</v>
      </c>
      <c r="P31" s="55"/>
      <c r="Q31" s="55"/>
      <c r="R31" s="55"/>
      <c r="S31" s="55"/>
      <c r="T31" s="55"/>
      <c r="U31" s="55"/>
      <c r="V31"/>
    </row>
    <row r="32" spans="1:22" x14ac:dyDescent="0.45">
      <c r="A32" s="51" t="s">
        <v>170</v>
      </c>
      <c r="B32" s="51"/>
      <c r="C32" t="s">
        <v>26</v>
      </c>
      <c r="D32" s="91"/>
      <c r="E32" s="92">
        <f>+G12</f>
        <v>72100.061799999996</v>
      </c>
      <c r="F32" s="93"/>
      <c r="G32" s="279">
        <f>+G12</f>
        <v>72100.061799999996</v>
      </c>
      <c r="H32" s="279">
        <f t="shared" ref="H32:L32" si="11">+H12</f>
        <v>5515.6547277</v>
      </c>
      <c r="I32" s="279">
        <f t="shared" si="11"/>
        <v>10238.208775599998</v>
      </c>
      <c r="J32" s="279">
        <f t="shared" si="11"/>
        <v>717.35</v>
      </c>
      <c r="K32" s="279">
        <f t="shared" si="11"/>
        <v>194.67016685999999</v>
      </c>
      <c r="L32" s="279">
        <f t="shared" si="11"/>
        <v>800.02</v>
      </c>
      <c r="M32" s="275">
        <f>+N12</f>
        <v>1134.8688</v>
      </c>
      <c r="N32" s="282">
        <v>0</v>
      </c>
      <c r="O32" s="99">
        <f t="shared" ref="O32:O36" si="12">SUM(G32:N32)</f>
        <v>90700.834270160005</v>
      </c>
      <c r="P32" s="55"/>
      <c r="Q32" s="55"/>
      <c r="R32" s="55"/>
      <c r="S32" s="55"/>
      <c r="T32" s="55"/>
      <c r="U32" s="55"/>
      <c r="V32"/>
    </row>
    <row r="33" spans="1:22" x14ac:dyDescent="0.45">
      <c r="A33" s="51" t="s">
        <v>174</v>
      </c>
      <c r="B33" s="51"/>
      <c r="C33" t="s">
        <v>178</v>
      </c>
      <c r="E33" s="100">
        <f>+G14</f>
        <v>51500.082399999999</v>
      </c>
      <c r="F33" s="80"/>
      <c r="G33" s="279">
        <f>+G14</f>
        <v>51500.082399999999</v>
      </c>
      <c r="H33" s="279">
        <f t="shared" ref="H33:L33" si="13">+H14</f>
        <v>3939.7563035999997</v>
      </c>
      <c r="I33" s="279">
        <f t="shared" si="13"/>
        <v>7313.0117007999988</v>
      </c>
      <c r="J33" s="279">
        <f t="shared" si="13"/>
        <v>717.35</v>
      </c>
      <c r="K33" s="279">
        <f t="shared" si="13"/>
        <v>139.05022248</v>
      </c>
      <c r="L33" s="279">
        <f t="shared" si="13"/>
        <v>800.02</v>
      </c>
      <c r="M33" s="276">
        <f>+N14</f>
        <v>0</v>
      </c>
      <c r="N33" s="283">
        <v>0</v>
      </c>
      <c r="O33" s="99">
        <f t="shared" si="12"/>
        <v>64409.270626879996</v>
      </c>
      <c r="P33" s="55"/>
      <c r="Q33" s="55"/>
      <c r="R33" s="55"/>
      <c r="S33" s="55"/>
      <c r="T33" s="55"/>
      <c r="U33" s="55"/>
      <c r="V33" s="56"/>
    </row>
    <row r="34" spans="1:22" x14ac:dyDescent="0.45">
      <c r="A34" s="57" t="s">
        <v>173</v>
      </c>
      <c r="B34" s="57"/>
      <c r="C34" t="s">
        <v>175</v>
      </c>
      <c r="E34" s="100">
        <f t="shared" ref="E34:E36" si="14">+G15</f>
        <v>53560</v>
      </c>
      <c r="F34" s="95"/>
      <c r="G34" s="279">
        <f t="shared" ref="G34:L36" si="15">+G15</f>
        <v>53560</v>
      </c>
      <c r="H34" s="279">
        <f t="shared" si="15"/>
        <v>4097.34</v>
      </c>
      <c r="I34" s="279">
        <f t="shared" si="15"/>
        <v>7605.5199999999995</v>
      </c>
      <c r="J34" s="279">
        <f t="shared" si="15"/>
        <v>717.35</v>
      </c>
      <c r="K34" s="279">
        <f t="shared" si="15"/>
        <v>144.61199999999999</v>
      </c>
      <c r="L34" s="279">
        <f t="shared" si="15"/>
        <v>800.02</v>
      </c>
      <c r="M34" s="276">
        <f t="shared" ref="M34:M36" si="16">+N15</f>
        <v>0</v>
      </c>
      <c r="N34" s="283">
        <v>0</v>
      </c>
      <c r="O34" s="99">
        <f t="shared" si="12"/>
        <v>66924.84199999999</v>
      </c>
      <c r="P34" s="55"/>
      <c r="Q34" s="55"/>
      <c r="R34" s="55"/>
      <c r="S34" s="55"/>
      <c r="T34" s="55"/>
      <c r="U34" s="55"/>
      <c r="V34" s="56"/>
    </row>
    <row r="35" spans="1:22" x14ac:dyDescent="0.45">
      <c r="A35" s="51" t="s">
        <v>171</v>
      </c>
      <c r="B35" s="51"/>
      <c r="C35" t="s">
        <v>178</v>
      </c>
      <c r="E35" s="100">
        <f t="shared" si="14"/>
        <v>53560</v>
      </c>
      <c r="F35" s="95"/>
      <c r="G35" s="279">
        <f t="shared" si="15"/>
        <v>53560</v>
      </c>
      <c r="H35" s="279">
        <f t="shared" si="15"/>
        <v>4097.34</v>
      </c>
      <c r="I35" s="279">
        <f t="shared" si="15"/>
        <v>7605.5199999999995</v>
      </c>
      <c r="J35" s="279">
        <f t="shared" si="15"/>
        <v>717.35</v>
      </c>
      <c r="K35" s="279">
        <f t="shared" si="15"/>
        <v>144.61199999999999</v>
      </c>
      <c r="L35" s="279">
        <f t="shared" si="15"/>
        <v>800.02</v>
      </c>
      <c r="M35" s="276">
        <f t="shared" si="16"/>
        <v>13705.224</v>
      </c>
      <c r="N35" s="283">
        <v>0</v>
      </c>
      <c r="O35" s="99">
        <f t="shared" si="12"/>
        <v>80630.065999999992</v>
      </c>
      <c r="P35" s="55"/>
      <c r="Q35" s="55"/>
      <c r="R35" s="55"/>
      <c r="S35" s="55"/>
      <c r="T35" s="55"/>
      <c r="U35" s="55"/>
      <c r="V35" s="56"/>
    </row>
    <row r="36" spans="1:22" x14ac:dyDescent="0.45">
      <c r="A36" s="51" t="s">
        <v>35</v>
      </c>
      <c r="B36" s="51"/>
      <c r="C36" t="s">
        <v>177</v>
      </c>
      <c r="E36" s="100">
        <f t="shared" si="14"/>
        <v>37513.629999999997</v>
      </c>
      <c r="F36" s="95"/>
      <c r="G36" s="279">
        <f t="shared" si="15"/>
        <v>37513.629999999997</v>
      </c>
      <c r="H36" s="279">
        <f t="shared" si="15"/>
        <v>2869.7926949999996</v>
      </c>
      <c r="I36" s="279">
        <f t="shared" si="15"/>
        <v>5326.9354599999988</v>
      </c>
      <c r="J36" s="279">
        <f t="shared" si="15"/>
        <v>717.35</v>
      </c>
      <c r="K36" s="279">
        <f t="shared" si="15"/>
        <v>101.286801</v>
      </c>
      <c r="L36" s="279">
        <f t="shared" si="15"/>
        <v>800.02</v>
      </c>
      <c r="M36" s="276">
        <f t="shared" si="16"/>
        <v>8756.3631999999998</v>
      </c>
      <c r="N36" s="283">
        <v>0</v>
      </c>
      <c r="O36" s="99">
        <f t="shared" si="12"/>
        <v>56085.378155999992</v>
      </c>
      <c r="P36" s="55"/>
      <c r="Q36" s="55"/>
      <c r="R36" s="55"/>
      <c r="S36" s="55"/>
      <c r="T36" s="55"/>
      <c r="U36" s="55"/>
      <c r="V36" s="56"/>
    </row>
    <row r="37" spans="1:22" ht="14.65" thickBot="1" x14ac:dyDescent="0.5">
      <c r="E37" s="105">
        <f>SUM(E33:E36)</f>
        <v>196133.71240000002</v>
      </c>
      <c r="F37" s="106"/>
      <c r="G37" s="281">
        <f t="shared" ref="G37:O37" si="17">SUM(G32:G36)</f>
        <v>268233.77419999999</v>
      </c>
      <c r="H37" s="116">
        <f t="shared" si="17"/>
        <v>20519.883726299999</v>
      </c>
      <c r="I37" s="105">
        <f t="shared" si="17"/>
        <v>38089.195936399999</v>
      </c>
      <c r="J37" s="105">
        <f t="shared" si="17"/>
        <v>3586.75</v>
      </c>
      <c r="K37" s="105">
        <f t="shared" si="17"/>
        <v>724.2311903399999</v>
      </c>
      <c r="L37" s="105">
        <f t="shared" si="17"/>
        <v>4000.1</v>
      </c>
      <c r="M37" s="277">
        <f t="shared" si="17"/>
        <v>23596.455999999998</v>
      </c>
      <c r="N37" s="284">
        <f t="shared" si="17"/>
        <v>0</v>
      </c>
      <c r="O37" s="108">
        <f t="shared" si="17"/>
        <v>358750.39105303999</v>
      </c>
      <c r="P37" s="55"/>
      <c r="Q37" s="55"/>
      <c r="R37" s="55"/>
      <c r="S37" s="55"/>
      <c r="T37" s="55"/>
      <c r="U37" s="55"/>
      <c r="V37"/>
    </row>
    <row r="38" spans="1:22" ht="14.65" thickTop="1" x14ac:dyDescent="0.45">
      <c r="E38" s="92"/>
      <c r="F38" s="110"/>
      <c r="G38" s="94"/>
      <c r="H38" s="110"/>
      <c r="I38" s="111"/>
      <c r="J38" s="112"/>
      <c r="K38" s="112"/>
      <c r="L38" s="112"/>
      <c r="M38" s="110"/>
      <c r="N38" s="113"/>
      <c r="O38" s="112" t="s">
        <v>0</v>
      </c>
      <c r="P38" s="55"/>
      <c r="Q38" s="55"/>
      <c r="R38" s="55"/>
      <c r="S38" s="55"/>
      <c r="T38" s="55"/>
      <c r="U38" s="55"/>
      <c r="V38"/>
    </row>
    <row r="39" spans="1:22" x14ac:dyDescent="0.45">
      <c r="E39" s="92">
        <f>(5*110)*12</f>
        <v>6600</v>
      </c>
      <c r="F39" s="110"/>
      <c r="G39" s="94"/>
      <c r="H39" s="110"/>
      <c r="I39" s="111"/>
      <c r="J39" s="112"/>
      <c r="K39" s="112"/>
      <c r="L39" s="112"/>
      <c r="M39" s="110"/>
      <c r="N39" s="113"/>
      <c r="O39" s="112"/>
      <c r="P39" s="55"/>
      <c r="Q39" s="55"/>
      <c r="R39" s="55"/>
      <c r="S39" s="55"/>
      <c r="T39" s="55"/>
      <c r="U39" s="55"/>
      <c r="V39"/>
    </row>
    <row r="40" spans="1:22" x14ac:dyDescent="0.45">
      <c r="E40" s="92">
        <v>5</v>
      </c>
      <c r="F40" s="110"/>
      <c r="G40" s="94"/>
      <c r="H40" s="110"/>
      <c r="I40" s="111"/>
      <c r="J40" s="112"/>
      <c r="K40" s="112"/>
      <c r="L40" s="112"/>
      <c r="M40" s="110"/>
      <c r="N40" s="113"/>
      <c r="O40" s="112"/>
      <c r="P40" s="55"/>
      <c r="Q40" s="55"/>
      <c r="R40" s="55"/>
      <c r="S40" s="55"/>
      <c r="T40" s="55"/>
      <c r="U40" s="55"/>
      <c r="V40"/>
    </row>
    <row r="41" spans="1:22" x14ac:dyDescent="0.45">
      <c r="E41" s="92"/>
      <c r="F41" s="110"/>
      <c r="G41" s="94"/>
      <c r="H41" s="110"/>
      <c r="I41" s="111"/>
      <c r="J41" s="112"/>
      <c r="K41" s="112"/>
      <c r="L41" s="112"/>
      <c r="M41" s="110"/>
      <c r="N41" s="113"/>
      <c r="O41" s="112"/>
      <c r="P41" s="55"/>
      <c r="Q41" s="55"/>
      <c r="R41" s="55"/>
      <c r="S41" s="55"/>
      <c r="T41" s="55"/>
      <c r="U41" s="55"/>
      <c r="V41"/>
    </row>
    <row r="42" spans="1:22" x14ac:dyDescent="0.45">
      <c r="E42" s="92"/>
      <c r="F42" s="110"/>
      <c r="G42" s="94"/>
      <c r="H42" s="110"/>
      <c r="I42" s="111"/>
      <c r="J42" s="112"/>
      <c r="K42" s="112"/>
      <c r="L42" s="112"/>
      <c r="M42" s="110"/>
      <c r="N42" s="113"/>
      <c r="O42" s="112"/>
      <c r="P42" s="55"/>
      <c r="Q42" s="55"/>
      <c r="R42" s="55"/>
      <c r="S42" s="55"/>
      <c r="T42" s="55"/>
      <c r="U42" s="55"/>
      <c r="V42"/>
    </row>
    <row r="43" spans="1:22" x14ac:dyDescent="0.45">
      <c r="E43" s="15"/>
      <c r="F43" s="15"/>
      <c r="G43" s="71">
        <v>0.03</v>
      </c>
      <c r="H43" s="15"/>
      <c r="I43" s="15"/>
      <c r="J43" s="15"/>
      <c r="K43" s="15"/>
      <c r="L43" s="15"/>
      <c r="M43" s="15"/>
      <c r="N43" s="69"/>
      <c r="P43" s="55"/>
      <c r="Q43" s="55"/>
      <c r="R43" s="55"/>
      <c r="S43" s="55"/>
      <c r="T43" s="55"/>
      <c r="U43" s="55"/>
      <c r="V43"/>
    </row>
    <row r="44" spans="1:22" x14ac:dyDescent="0.45">
      <c r="C44" s="256" t="s">
        <v>48</v>
      </c>
      <c r="D44" s="253"/>
      <c r="E44" s="73" t="s">
        <v>42</v>
      </c>
      <c r="F44" s="73"/>
      <c r="G44" s="74" t="s">
        <v>43</v>
      </c>
      <c r="H44" s="73" t="s">
        <v>15</v>
      </c>
      <c r="I44" s="73" t="s">
        <v>16</v>
      </c>
      <c r="J44" s="251" t="s">
        <v>17</v>
      </c>
      <c r="K44" s="75" t="s">
        <v>18</v>
      </c>
      <c r="L44" s="260" t="s">
        <v>179</v>
      </c>
      <c r="M44" s="30" t="s">
        <v>181</v>
      </c>
      <c r="N44" s="262" t="s">
        <v>0</v>
      </c>
      <c r="O44" s="32" t="s">
        <v>20</v>
      </c>
      <c r="P44" s="55"/>
      <c r="Q44" s="55"/>
      <c r="R44" s="55"/>
      <c r="S44" s="55"/>
      <c r="T44" s="55"/>
      <c r="U44" s="55"/>
      <c r="V44"/>
    </row>
    <row r="45" spans="1:22" x14ac:dyDescent="0.45">
      <c r="A45" s="51" t="s">
        <v>172</v>
      </c>
      <c r="B45" s="51"/>
      <c r="C45" t="s">
        <v>176</v>
      </c>
      <c r="E45" s="78">
        <f>+E13</f>
        <v>59999.94</v>
      </c>
      <c r="F45" s="80"/>
      <c r="G45" s="115">
        <f>+G13</f>
        <v>61799.938200000004</v>
      </c>
      <c r="H45" s="115">
        <f t="shared" ref="H45:L45" si="18">+H13</f>
        <v>4727.6952723000004</v>
      </c>
      <c r="I45" s="115">
        <f t="shared" si="18"/>
        <v>8775.5912243999992</v>
      </c>
      <c r="J45" s="115">
        <f t="shared" si="18"/>
        <v>717.35</v>
      </c>
      <c r="K45" s="115">
        <f t="shared" si="18"/>
        <v>166.85983314000001</v>
      </c>
      <c r="L45" s="115">
        <f t="shared" si="18"/>
        <v>800.02</v>
      </c>
      <c r="M45" s="278">
        <f>+N13</f>
        <v>29474.411199999999</v>
      </c>
      <c r="N45" s="115">
        <v>0</v>
      </c>
      <c r="O45" s="95">
        <f t="shared" ref="O45" si="19">SUM(G45:N45)</f>
        <v>106461.86572984001</v>
      </c>
      <c r="P45" s="55"/>
      <c r="Q45" s="55"/>
      <c r="R45" s="55"/>
      <c r="S45" s="55"/>
      <c r="T45" s="55"/>
      <c r="U45" s="55"/>
      <c r="V45" s="56"/>
    </row>
    <row r="46" spans="1:22" ht="14.65" thickBot="1" x14ac:dyDescent="0.5">
      <c r="E46" s="116">
        <f>SUM(E45:E45)</f>
        <v>59999.94</v>
      </c>
      <c r="F46" s="106"/>
      <c r="G46" s="280">
        <f>SUM(G45:G45)</f>
        <v>61799.938200000004</v>
      </c>
      <c r="H46" s="116">
        <f>SUM(H45:H45)</f>
        <v>4727.6952723000004</v>
      </c>
      <c r="I46" s="116">
        <f>SUM(I45:I45)</f>
        <v>8775.5912243999992</v>
      </c>
      <c r="J46" s="116">
        <f>SUM(J45:J45)</f>
        <v>717.35</v>
      </c>
      <c r="K46" s="116">
        <f>SUM(K45:K45)</f>
        <v>166.85983314000001</v>
      </c>
      <c r="L46" s="116">
        <f>SUM(L45)</f>
        <v>800.02</v>
      </c>
      <c r="M46" s="116">
        <f>SUM(M45)</f>
        <v>29474.411199999999</v>
      </c>
      <c r="N46" s="84">
        <f>SUM(N45:N45)</f>
        <v>0</v>
      </c>
      <c r="O46" s="106">
        <f>SUM(O45:O45)</f>
        <v>106461.86572984001</v>
      </c>
      <c r="P46" s="55"/>
      <c r="Q46" s="55"/>
      <c r="R46" s="55"/>
      <c r="S46" s="55"/>
      <c r="T46" s="55"/>
      <c r="U46" s="55"/>
      <c r="V46"/>
    </row>
    <row r="47" spans="1:22" ht="14.65" thickTop="1" x14ac:dyDescent="0.45">
      <c r="E47" s="88"/>
      <c r="F47" s="88"/>
      <c r="G47" s="89"/>
      <c r="H47" s="88"/>
      <c r="I47" s="88"/>
      <c r="J47" s="88"/>
      <c r="K47" s="88"/>
      <c r="L47" s="88"/>
      <c r="M47" s="88"/>
      <c r="N47" s="90"/>
      <c r="O47" s="88"/>
      <c r="P47" s="55"/>
      <c r="Q47" s="55"/>
      <c r="R47" s="55"/>
      <c r="S47" s="55"/>
      <c r="T47" s="55"/>
      <c r="U47" s="55"/>
    </row>
    <row r="48" spans="1:22" hidden="1" x14ac:dyDescent="0.45">
      <c r="E48" s="15"/>
      <c r="F48" s="15"/>
      <c r="G48" s="16"/>
      <c r="H48" s="15"/>
      <c r="I48" s="15"/>
      <c r="J48" s="15"/>
      <c r="K48" s="15"/>
      <c r="L48" s="15"/>
      <c r="M48" s="15"/>
      <c r="N48" s="69"/>
      <c r="P48" s="55"/>
      <c r="Q48" s="55"/>
      <c r="R48" s="55"/>
      <c r="S48" s="55"/>
      <c r="T48" s="55"/>
      <c r="U48" s="55"/>
      <c r="V48"/>
    </row>
    <row r="49" spans="1:22" hidden="1" x14ac:dyDescent="0.45">
      <c r="E49" s="15"/>
      <c r="F49" s="15"/>
      <c r="G49" s="71"/>
      <c r="H49" s="15"/>
      <c r="I49" s="15"/>
      <c r="J49" s="15"/>
      <c r="K49" s="15"/>
      <c r="L49" s="15"/>
      <c r="M49" s="15"/>
      <c r="N49" s="69"/>
      <c r="P49" s="55"/>
      <c r="Q49" s="55"/>
      <c r="R49" s="55"/>
      <c r="S49" s="55"/>
      <c r="T49" s="55"/>
      <c r="U49" s="55"/>
      <c r="V49"/>
    </row>
    <row r="50" spans="1:22" hidden="1" x14ac:dyDescent="0.45">
      <c r="C50" s="72"/>
      <c r="D50" s="72"/>
      <c r="E50" s="73"/>
      <c r="F50" s="73"/>
      <c r="G50" s="74"/>
      <c r="H50" s="73"/>
      <c r="I50" s="73"/>
      <c r="J50" s="118"/>
      <c r="K50" s="75"/>
      <c r="L50" s="75"/>
      <c r="M50" s="75"/>
      <c r="N50" s="119"/>
      <c r="O50" s="32"/>
      <c r="P50" s="55"/>
      <c r="Q50" s="55"/>
      <c r="R50" s="55"/>
      <c r="S50" s="55"/>
      <c r="T50" s="55"/>
      <c r="U50" s="55"/>
      <c r="V50"/>
    </row>
    <row r="51" spans="1:22" s="121" customFormat="1" hidden="1" x14ac:dyDescent="0.45">
      <c r="A51" s="120" t="s">
        <v>22</v>
      </c>
      <c r="B51" s="120"/>
      <c r="E51" s="122"/>
      <c r="F51" s="122"/>
      <c r="G51" s="123"/>
      <c r="H51" s="122"/>
      <c r="I51" s="122"/>
      <c r="J51" s="122"/>
      <c r="K51" s="122"/>
      <c r="L51" s="122"/>
      <c r="M51" s="123"/>
      <c r="N51" s="124"/>
      <c r="O51" s="122"/>
      <c r="P51" s="125"/>
      <c r="Q51" s="125"/>
      <c r="R51" s="125"/>
      <c r="S51" s="125"/>
      <c r="T51" s="125"/>
      <c r="U51" s="125"/>
      <c r="V51" s="126"/>
    </row>
    <row r="52" spans="1:22" s="128" customFormat="1" hidden="1" x14ac:dyDescent="0.45">
      <c r="A52" s="127" t="s">
        <v>22</v>
      </c>
      <c r="B52" s="127"/>
      <c r="C52" s="127"/>
      <c r="E52" s="129"/>
      <c r="F52" s="129"/>
      <c r="G52" s="130"/>
      <c r="H52" s="130"/>
      <c r="I52" s="130"/>
      <c r="J52" s="130"/>
      <c r="K52" s="130"/>
      <c r="L52" s="130"/>
      <c r="M52" s="130"/>
      <c r="N52" s="130"/>
      <c r="O52" s="129"/>
      <c r="P52" s="131"/>
      <c r="Q52" s="131"/>
      <c r="R52" s="131"/>
      <c r="S52" s="131"/>
      <c r="T52" s="131"/>
      <c r="U52" s="131"/>
      <c r="V52" s="132"/>
    </row>
    <row r="53" spans="1:22" hidden="1" x14ac:dyDescent="0.45">
      <c r="A53" s="51" t="s">
        <v>56</v>
      </c>
      <c r="B53" s="51"/>
      <c r="E53" s="15"/>
      <c r="F53" s="15"/>
      <c r="G53" s="133"/>
      <c r="H53" s="133"/>
      <c r="I53" s="133"/>
      <c r="J53" s="133"/>
      <c r="K53" s="133"/>
      <c r="L53" s="133"/>
      <c r="M53" s="133"/>
      <c r="N53" s="133"/>
      <c r="O53" s="15"/>
      <c r="P53" s="55"/>
      <c r="Q53" s="55"/>
      <c r="R53" s="55"/>
      <c r="S53" s="55"/>
      <c r="T53" s="55"/>
      <c r="U53" s="55"/>
      <c r="V53" s="56"/>
    </row>
    <row r="54" spans="1:22" hidden="1" x14ac:dyDescent="0.45">
      <c r="A54" s="51" t="s">
        <v>58</v>
      </c>
      <c r="B54" s="51"/>
      <c r="E54" s="79"/>
      <c r="F54" s="79"/>
      <c r="G54" s="134"/>
      <c r="H54" s="15"/>
      <c r="I54" s="15"/>
      <c r="J54" s="15"/>
      <c r="K54" s="15"/>
      <c r="L54" s="15"/>
      <c r="M54" s="135"/>
      <c r="N54" s="136"/>
      <c r="O54" s="15"/>
      <c r="P54" s="55"/>
      <c r="Q54" s="55"/>
      <c r="R54" s="55"/>
      <c r="S54" s="55"/>
      <c r="T54" s="55"/>
      <c r="U54" s="55"/>
      <c r="V54" s="56"/>
    </row>
    <row r="55" spans="1:22" hidden="1" x14ac:dyDescent="0.45">
      <c r="A55" s="51" t="s">
        <v>25</v>
      </c>
      <c r="B55" s="51"/>
      <c r="E55" s="15"/>
      <c r="F55" s="15"/>
      <c r="G55" s="134"/>
      <c r="H55" s="15"/>
      <c r="I55" s="15"/>
      <c r="J55" s="15"/>
      <c r="K55" s="15"/>
      <c r="L55" s="15"/>
      <c r="M55" s="15"/>
      <c r="N55" s="137"/>
      <c r="O55" s="15"/>
      <c r="P55" s="55"/>
      <c r="Q55" s="55"/>
      <c r="R55" s="55"/>
      <c r="S55" s="55"/>
      <c r="T55" s="55"/>
      <c r="U55" s="55"/>
      <c r="V55" s="56"/>
    </row>
    <row r="56" spans="1:22" hidden="1" x14ac:dyDescent="0.45">
      <c r="A56" s="51" t="s">
        <v>47</v>
      </c>
      <c r="B56" s="51"/>
      <c r="E56" s="15"/>
      <c r="F56" s="15"/>
      <c r="G56" s="133"/>
      <c r="H56" s="133"/>
      <c r="I56" s="133"/>
      <c r="J56" s="133"/>
      <c r="K56" s="133"/>
      <c r="L56" s="133"/>
      <c r="M56" s="133"/>
      <c r="N56" s="133"/>
      <c r="O56" s="15"/>
      <c r="P56" s="55"/>
      <c r="Q56" s="55"/>
      <c r="R56" s="55"/>
      <c r="S56" s="55"/>
      <c r="T56" s="55"/>
      <c r="U56" s="55"/>
      <c r="V56" s="56"/>
    </row>
    <row r="57" spans="1:22" hidden="1" x14ac:dyDescent="0.45">
      <c r="A57" s="51" t="s">
        <v>34</v>
      </c>
      <c r="B57" s="51"/>
      <c r="E57" s="15"/>
      <c r="F57" s="15"/>
      <c r="G57" s="133"/>
      <c r="H57" s="133"/>
      <c r="I57" s="133"/>
      <c r="J57" s="133"/>
      <c r="K57" s="133"/>
      <c r="L57" s="133"/>
      <c r="M57" s="133"/>
      <c r="N57" s="133"/>
      <c r="O57" s="15"/>
      <c r="P57" s="55"/>
      <c r="Q57" s="55"/>
      <c r="R57" s="55"/>
      <c r="S57" s="55"/>
      <c r="T57" s="55"/>
      <c r="U57" s="55"/>
      <c r="V57" s="56"/>
    </row>
    <row r="58" spans="1:22" hidden="1" x14ac:dyDescent="0.45">
      <c r="A58" s="51" t="s">
        <v>31</v>
      </c>
      <c r="B58" s="51"/>
      <c r="E58" s="15"/>
      <c r="F58" s="15"/>
      <c r="G58" s="133"/>
      <c r="H58" s="133"/>
      <c r="I58" s="133"/>
      <c r="J58" s="133"/>
      <c r="K58" s="133"/>
      <c r="L58" s="133"/>
      <c r="M58" s="133"/>
      <c r="N58" s="133"/>
      <c r="O58" s="15"/>
      <c r="P58" s="55"/>
      <c r="Q58" s="55"/>
      <c r="R58" s="55"/>
      <c r="S58" s="55"/>
      <c r="T58" s="55"/>
      <c r="U58" s="55"/>
      <c r="V58" s="56"/>
    </row>
    <row r="59" spans="1:22" ht="14.65" hidden="1" thickBot="1" x14ac:dyDescent="0.5">
      <c r="E59" s="138"/>
      <c r="F59" s="138"/>
      <c r="G59" s="139"/>
      <c r="H59" s="138"/>
      <c r="I59" s="138"/>
      <c r="J59" s="138"/>
      <c r="K59" s="138"/>
      <c r="L59" s="138"/>
      <c r="M59" s="138"/>
      <c r="N59" s="140"/>
      <c r="O59" s="138"/>
      <c r="P59" s="55"/>
      <c r="Q59" s="55"/>
      <c r="R59" s="55"/>
      <c r="S59" s="55"/>
      <c r="T59" s="55"/>
      <c r="U59" s="55"/>
      <c r="V59"/>
    </row>
    <row r="60" spans="1:22" x14ac:dyDescent="0.45">
      <c r="E60" s="88">
        <v>1320</v>
      </c>
      <c r="F60" s="88"/>
      <c r="G60" s="89"/>
      <c r="H60" s="88"/>
      <c r="I60" s="88"/>
      <c r="J60" s="88"/>
      <c r="K60" s="88"/>
      <c r="L60" s="88"/>
      <c r="M60" s="88"/>
      <c r="N60" s="90"/>
      <c r="O60" s="88"/>
      <c r="P60" s="55"/>
      <c r="Q60" s="55"/>
      <c r="R60" s="55"/>
      <c r="S60" s="55"/>
      <c r="T60" s="55"/>
      <c r="U60" s="55"/>
      <c r="V60"/>
    </row>
    <row r="61" spans="1:22" x14ac:dyDescent="0.45">
      <c r="E61" s="88"/>
      <c r="F61" s="88"/>
      <c r="G61" s="89"/>
      <c r="H61" s="88"/>
      <c r="I61" s="88"/>
      <c r="J61" s="88"/>
      <c r="K61" s="88"/>
      <c r="L61" s="88"/>
      <c r="M61" s="88"/>
      <c r="N61" s="90"/>
      <c r="O61" s="88"/>
      <c r="P61" s="55"/>
      <c r="Q61" s="55"/>
      <c r="R61" s="55"/>
      <c r="S61" s="55"/>
      <c r="T61" s="55"/>
      <c r="U61" s="55"/>
      <c r="V61"/>
    </row>
    <row r="62" spans="1:22" x14ac:dyDescent="0.45">
      <c r="E62" s="88"/>
      <c r="F62" s="88"/>
      <c r="G62" s="257"/>
      <c r="H62" s="258"/>
      <c r="I62" s="258"/>
      <c r="J62" s="258"/>
      <c r="K62" s="258"/>
      <c r="L62" s="258"/>
      <c r="M62" s="258"/>
      <c r="N62" s="259"/>
      <c r="O62" s="258"/>
      <c r="P62" s="263"/>
      <c r="Q62" s="263"/>
      <c r="R62" s="55"/>
      <c r="S62" s="55"/>
      <c r="T62" s="55"/>
      <c r="U62" s="55"/>
      <c r="V62"/>
    </row>
    <row r="63" spans="1:22" x14ac:dyDescent="0.45">
      <c r="C63" s="248"/>
      <c r="E63" s="88"/>
      <c r="F63" s="88"/>
      <c r="G63" s="264"/>
      <c r="H63" s="264"/>
      <c r="I63" s="264"/>
      <c r="J63" s="265"/>
      <c r="K63" s="261"/>
      <c r="L63" s="261"/>
      <c r="M63" s="258"/>
      <c r="N63" s="266"/>
      <c r="O63" s="258"/>
      <c r="P63" s="263"/>
      <c r="Q63" s="263"/>
      <c r="R63" s="55"/>
      <c r="S63" s="55"/>
      <c r="T63" s="55"/>
      <c r="U63" s="55"/>
      <c r="V63"/>
    </row>
    <row r="64" spans="1:22" x14ac:dyDescent="0.45">
      <c r="E64" s="88"/>
      <c r="F64" s="141"/>
      <c r="G64" s="89"/>
      <c r="H64" s="88"/>
      <c r="I64" s="88"/>
      <c r="J64" s="88"/>
      <c r="K64" s="88"/>
      <c r="L64" s="88"/>
      <c r="M64" s="88"/>
      <c r="N64" s="90"/>
      <c r="O64" s="88"/>
      <c r="P64" s="263"/>
      <c r="Q64" s="263"/>
      <c r="R64" s="55"/>
      <c r="S64" s="55"/>
      <c r="T64" s="55"/>
      <c r="U64" s="55"/>
      <c r="V64"/>
    </row>
    <row r="65" spans="5:22" x14ac:dyDescent="0.45">
      <c r="E65" s="88"/>
      <c r="F65" s="141"/>
      <c r="G65" s="89"/>
      <c r="H65" s="88"/>
      <c r="I65" s="88"/>
      <c r="J65" s="88"/>
      <c r="K65" s="88"/>
      <c r="L65" s="88"/>
      <c r="M65" s="88"/>
      <c r="N65" s="90"/>
      <c r="O65" s="88"/>
      <c r="P65" s="263"/>
      <c r="Q65" s="263"/>
      <c r="R65" s="55"/>
      <c r="S65" s="55"/>
      <c r="T65" s="55"/>
      <c r="U65" s="55"/>
      <c r="V65"/>
    </row>
    <row r="66" spans="5:22" x14ac:dyDescent="0.45">
      <c r="E66" s="88"/>
      <c r="F66" s="141"/>
      <c r="G66" s="89"/>
      <c r="H66" s="88"/>
      <c r="I66" s="88"/>
      <c r="J66" s="88"/>
      <c r="K66" s="88"/>
      <c r="L66" s="88"/>
      <c r="M66" s="88"/>
      <c r="N66" s="90"/>
      <c r="O66" s="88"/>
      <c r="P66" s="263"/>
      <c r="Q66" s="263"/>
      <c r="R66" s="55"/>
      <c r="S66" s="55"/>
      <c r="T66" s="55"/>
      <c r="U66" s="55"/>
      <c r="V66"/>
    </row>
    <row r="67" spans="5:22" x14ac:dyDescent="0.45">
      <c r="E67" s="88"/>
      <c r="F67" s="141"/>
      <c r="G67" s="89"/>
      <c r="H67" s="88"/>
      <c r="I67" s="88"/>
      <c r="J67" s="88"/>
      <c r="K67" s="88"/>
      <c r="L67" s="88"/>
      <c r="M67" s="88"/>
      <c r="N67" s="90"/>
      <c r="O67" s="88"/>
      <c r="P67" s="263"/>
      <c r="Q67" s="263"/>
      <c r="R67" s="55"/>
      <c r="S67" s="55"/>
      <c r="T67" s="55"/>
      <c r="U67" s="55"/>
      <c r="V67"/>
    </row>
    <row r="68" spans="5:22" x14ac:dyDescent="0.45">
      <c r="E68" s="88"/>
      <c r="F68" s="141"/>
      <c r="G68" s="89"/>
      <c r="H68" s="88"/>
      <c r="I68" s="88"/>
      <c r="J68" s="88"/>
      <c r="K68" s="88"/>
      <c r="L68" s="88"/>
      <c r="M68" s="88"/>
      <c r="N68" s="90"/>
      <c r="O68" s="88"/>
      <c r="P68" s="263"/>
      <c r="Q68" s="263"/>
      <c r="R68" s="55"/>
      <c r="S68" s="55"/>
      <c r="T68" s="55"/>
      <c r="U68" s="55"/>
      <c r="V68"/>
    </row>
    <row r="69" spans="5:22" x14ac:dyDescent="0.45">
      <c r="E69" s="88"/>
      <c r="F69" s="88"/>
      <c r="G69" s="89"/>
      <c r="H69" s="88"/>
      <c r="I69" s="88"/>
      <c r="J69" s="88"/>
      <c r="K69" s="88"/>
      <c r="L69" s="88"/>
      <c r="M69" s="88"/>
      <c r="N69" s="90"/>
      <c r="O69" s="88"/>
      <c r="P69" s="263"/>
      <c r="Q69" s="263"/>
      <c r="R69" s="55"/>
      <c r="S69" s="55"/>
      <c r="T69" s="55"/>
      <c r="U69" s="55"/>
      <c r="V69"/>
    </row>
    <row r="70" spans="5:22" x14ac:dyDescent="0.45">
      <c r="E70" s="88"/>
      <c r="F70" s="88"/>
      <c r="G70" s="89"/>
      <c r="H70" s="88"/>
      <c r="I70" s="88"/>
      <c r="J70" s="88"/>
      <c r="K70" s="88"/>
      <c r="L70" s="88"/>
      <c r="M70" s="88"/>
      <c r="N70" s="90"/>
      <c r="O70" s="88"/>
      <c r="P70" s="263"/>
      <c r="Q70" s="263"/>
      <c r="R70" s="55"/>
      <c r="S70" s="55"/>
      <c r="T70" s="55"/>
      <c r="U70" s="55"/>
      <c r="V70"/>
    </row>
    <row r="71" spans="5:22" x14ac:dyDescent="0.45">
      <c r="E71" s="88"/>
      <c r="F71" s="88"/>
      <c r="G71" s="89"/>
      <c r="H71" s="88"/>
      <c r="I71" s="88"/>
      <c r="J71" s="88"/>
      <c r="K71" s="88"/>
      <c r="L71" s="88"/>
      <c r="M71" s="88"/>
      <c r="N71" s="90"/>
      <c r="O71" s="88"/>
      <c r="P71" s="55"/>
      <c r="Q71" s="55"/>
      <c r="R71" s="55"/>
      <c r="S71" s="55"/>
      <c r="T71" s="55"/>
      <c r="U71" s="55"/>
      <c r="V71"/>
    </row>
    <row r="72" spans="5:22" x14ac:dyDescent="0.45">
      <c r="E72" s="88"/>
      <c r="F72" s="88"/>
      <c r="G72" s="89"/>
      <c r="H72" s="88"/>
      <c r="I72" s="88"/>
      <c r="J72" s="88"/>
      <c r="K72" s="88"/>
      <c r="L72" s="88"/>
      <c r="M72" s="88"/>
      <c r="N72" s="90"/>
      <c r="O72" s="88"/>
      <c r="P72" s="55"/>
      <c r="Q72" s="55"/>
      <c r="R72" s="55"/>
      <c r="S72" s="55"/>
      <c r="T72" s="55"/>
      <c r="U72" s="55"/>
      <c r="V72"/>
    </row>
    <row r="73" spans="5:22" x14ac:dyDescent="0.45">
      <c r="E73" s="88"/>
      <c r="F73" s="88"/>
      <c r="G73" s="89"/>
      <c r="H73" s="88"/>
      <c r="I73" s="88"/>
      <c r="J73" s="88"/>
      <c r="K73" s="88"/>
      <c r="L73" s="88"/>
      <c r="M73" s="88"/>
      <c r="N73" s="90"/>
      <c r="O73" s="88"/>
      <c r="P73" s="55"/>
      <c r="Q73" s="55"/>
      <c r="R73" s="55"/>
      <c r="S73" s="55"/>
      <c r="T73" s="55"/>
      <c r="U73" s="55"/>
      <c r="V73"/>
    </row>
    <row r="74" spans="5:22" x14ac:dyDescent="0.45">
      <c r="E74" s="88"/>
      <c r="F74" s="88"/>
      <c r="G74" s="89"/>
      <c r="H74" s="88"/>
      <c r="I74" s="88"/>
      <c r="J74" s="88"/>
      <c r="K74" s="88"/>
      <c r="L74" s="88"/>
      <c r="M74" s="88"/>
      <c r="N74" s="90"/>
      <c r="O74" s="88"/>
      <c r="P74" s="55"/>
      <c r="Q74" s="55"/>
      <c r="R74" s="55"/>
      <c r="S74" s="55"/>
      <c r="T74" s="55"/>
      <c r="U74" s="55"/>
      <c r="V74"/>
    </row>
    <row r="75" spans="5:22" x14ac:dyDescent="0.45">
      <c r="E75" s="88"/>
      <c r="F75" s="88"/>
      <c r="G75" s="89"/>
      <c r="H75" s="88"/>
      <c r="I75" s="88"/>
      <c r="J75" s="88"/>
      <c r="K75" s="88"/>
      <c r="L75" s="88"/>
      <c r="M75" s="88"/>
      <c r="N75" s="90"/>
      <c r="O75" s="88"/>
      <c r="P75" s="55"/>
      <c r="Q75" s="55"/>
      <c r="R75" s="55"/>
      <c r="S75" s="55"/>
      <c r="T75" s="55"/>
      <c r="U75" s="55"/>
      <c r="V75"/>
    </row>
    <row r="76" spans="5:22" x14ac:dyDescent="0.45">
      <c r="E76" s="88"/>
      <c r="F76" s="88"/>
      <c r="G76" s="89"/>
      <c r="H76" s="88"/>
      <c r="I76" s="88"/>
      <c r="J76" s="88"/>
      <c r="K76" s="88"/>
      <c r="L76" s="88"/>
      <c r="M76" s="88"/>
      <c r="N76" s="90"/>
      <c r="O76" s="88">
        <f>+O24+O37+O46</f>
        <v>588849.60678288003</v>
      </c>
      <c r="P76" s="55"/>
      <c r="Q76" s="55"/>
      <c r="R76" s="55"/>
      <c r="S76" s="55"/>
      <c r="T76" s="55"/>
      <c r="U76" s="55"/>
      <c r="V76"/>
    </row>
    <row r="77" spans="5:22" x14ac:dyDescent="0.45">
      <c r="E77" s="88"/>
      <c r="F77" s="88"/>
      <c r="G77" s="89"/>
      <c r="H77" s="88"/>
      <c r="I77" s="88"/>
      <c r="J77" s="88"/>
      <c r="K77" s="88"/>
      <c r="L77" s="88"/>
      <c r="M77" s="88"/>
      <c r="N77" s="90"/>
      <c r="O77" s="88"/>
      <c r="P77" s="55"/>
      <c r="Q77" s="55"/>
      <c r="R77" s="55"/>
      <c r="S77" s="55"/>
      <c r="T77" s="55"/>
      <c r="U77" s="55"/>
      <c r="V77"/>
    </row>
    <row r="78" spans="5:22" x14ac:dyDescent="0.45">
      <c r="E78" s="88"/>
      <c r="F78" s="88"/>
      <c r="G78" s="144"/>
      <c r="H78" s="88"/>
      <c r="I78" s="88"/>
      <c r="J78" s="88"/>
      <c r="K78" s="88"/>
      <c r="L78" s="88"/>
      <c r="M78" s="88"/>
      <c r="N78" s="90"/>
      <c r="O78" s="88"/>
      <c r="P78" s="55"/>
      <c r="Q78" s="55"/>
      <c r="R78" s="55"/>
      <c r="S78" s="55"/>
      <c r="T78" s="55"/>
      <c r="U78" s="55"/>
      <c r="V78"/>
    </row>
    <row r="79" spans="5:22" x14ac:dyDescent="0.45">
      <c r="E79" s="15"/>
      <c r="F79" s="15"/>
      <c r="G79" s="145"/>
      <c r="H79" s="15"/>
      <c r="I79" s="15"/>
      <c r="J79" s="15"/>
      <c r="K79" s="15"/>
      <c r="L79" s="15"/>
      <c r="M79" s="15"/>
      <c r="N79" s="15"/>
      <c r="O79" s="15">
        <f>+O18-O76</f>
        <v>1.999999990221113E-2</v>
      </c>
      <c r="P79" s="55"/>
      <c r="Q79" s="55"/>
      <c r="R79" s="55"/>
      <c r="S79" s="55"/>
      <c r="T79" s="55"/>
      <c r="U79" s="55"/>
      <c r="V79"/>
    </row>
    <row r="80" spans="5:22" x14ac:dyDescent="0.45">
      <c r="E80" s="15"/>
      <c r="F80" s="15"/>
      <c r="G80" s="144"/>
      <c r="H80" s="15"/>
      <c r="I80" s="15"/>
      <c r="J80" s="15"/>
      <c r="K80" s="15"/>
      <c r="L80" s="15"/>
      <c r="M80" s="15"/>
      <c r="N80" s="15"/>
      <c r="O80" s="15"/>
      <c r="P80" s="55"/>
      <c r="Q80" s="55"/>
      <c r="R80" s="55"/>
      <c r="S80" s="55"/>
      <c r="T80" s="55"/>
      <c r="U80" s="55"/>
      <c r="V80"/>
    </row>
    <row r="81" spans="3:22" x14ac:dyDescent="0.45">
      <c r="E81" s="15"/>
      <c r="F81" s="15"/>
      <c r="G81" s="147"/>
      <c r="H81" s="15"/>
      <c r="I81" s="15"/>
      <c r="J81" s="15"/>
      <c r="K81" s="15"/>
      <c r="L81" s="15"/>
      <c r="M81" s="15"/>
      <c r="N81" s="15"/>
      <c r="O81" s="147">
        <v>0.26</v>
      </c>
      <c r="P81" s="55"/>
      <c r="Q81" s="55"/>
      <c r="R81" s="55"/>
      <c r="S81" s="55"/>
      <c r="T81" s="55"/>
      <c r="U81" s="55"/>
      <c r="V81"/>
    </row>
    <row r="82" spans="3:22" x14ac:dyDescent="0.4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>
        <f>O76*O81</f>
        <v>153100.89776354883</v>
      </c>
      <c r="P82" s="55"/>
      <c r="Q82" s="55"/>
      <c r="R82" s="55"/>
      <c r="S82" s="55"/>
      <c r="T82" s="55"/>
      <c r="U82" s="55"/>
      <c r="V82"/>
    </row>
    <row r="83" spans="3:22" x14ac:dyDescent="0.45"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55"/>
      <c r="Q83" s="55"/>
      <c r="R83" s="55"/>
      <c r="S83" s="55"/>
      <c r="T83" s="55"/>
      <c r="U83" s="55"/>
      <c r="V83"/>
    </row>
    <row r="84" spans="3:22" x14ac:dyDescent="0.45">
      <c r="E84" s="15"/>
      <c r="F84" s="15"/>
      <c r="G84" s="147"/>
      <c r="H84" s="15"/>
      <c r="I84" s="15"/>
      <c r="J84" s="15"/>
      <c r="K84" s="15"/>
      <c r="L84" s="15"/>
      <c r="M84" s="15"/>
      <c r="N84" s="15"/>
      <c r="O84" s="15"/>
      <c r="P84" s="55"/>
      <c r="Q84" s="55"/>
      <c r="R84" s="55"/>
      <c r="S84" s="55"/>
      <c r="T84" s="55"/>
      <c r="U84" s="55"/>
      <c r="V84"/>
    </row>
    <row r="85" spans="3:22" x14ac:dyDescent="0.45">
      <c r="E85" s="15"/>
      <c r="F85" s="15"/>
      <c r="G85" s="147"/>
      <c r="H85" s="15"/>
      <c r="I85" s="15"/>
      <c r="J85" s="15"/>
      <c r="K85" s="15"/>
      <c r="L85" s="15"/>
      <c r="M85" s="15"/>
      <c r="N85" s="15"/>
      <c r="O85" s="15"/>
      <c r="P85" s="55"/>
      <c r="Q85" s="55"/>
      <c r="R85" s="55"/>
      <c r="S85" s="55"/>
      <c r="T85" s="55"/>
      <c r="U85" s="55"/>
      <c r="V85"/>
    </row>
    <row r="86" spans="3:22" x14ac:dyDescent="0.45">
      <c r="E86" s="15"/>
      <c r="F86" s="15"/>
      <c r="G86" s="147"/>
      <c r="H86" s="15"/>
      <c r="I86" s="15"/>
      <c r="J86" s="15"/>
      <c r="K86" s="15"/>
      <c r="L86" s="15"/>
      <c r="M86" s="15"/>
      <c r="N86" s="15"/>
      <c r="O86" s="15"/>
      <c r="V86"/>
    </row>
    <row r="87" spans="3:22" x14ac:dyDescent="0.45"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V87"/>
    </row>
    <row r="88" spans="3:22" x14ac:dyDescent="0.45"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V88"/>
    </row>
    <row r="89" spans="3:22" x14ac:dyDescent="0.45">
      <c r="E89" s="15"/>
      <c r="F89" s="15"/>
      <c r="G89" s="16"/>
      <c r="H89" s="16"/>
      <c r="I89" s="16"/>
      <c r="J89" s="16"/>
      <c r="K89" s="16"/>
      <c r="L89" s="16"/>
      <c r="M89" s="16"/>
      <c r="N89" s="15"/>
      <c r="O89" s="16"/>
      <c r="V89"/>
    </row>
    <row r="90" spans="3:22" x14ac:dyDescent="0.45">
      <c r="E90" s="15"/>
      <c r="F90" s="15"/>
      <c r="G90" s="16"/>
      <c r="H90" s="15"/>
      <c r="I90" s="15"/>
      <c r="J90" s="15"/>
      <c r="K90" s="15"/>
      <c r="L90" s="15"/>
      <c r="M90" s="15"/>
      <c r="N90" s="15"/>
      <c r="O90" s="69"/>
      <c r="V90"/>
    </row>
    <row r="91" spans="3:22" x14ac:dyDescent="0.45">
      <c r="E91" s="15"/>
      <c r="F91" s="15"/>
      <c r="G91" s="16"/>
      <c r="H91" s="15"/>
      <c r="I91" s="15"/>
      <c r="J91" s="15"/>
      <c r="K91" s="15"/>
      <c r="L91" s="15"/>
      <c r="M91" s="15"/>
      <c r="N91" s="69"/>
      <c r="O91" s="69"/>
      <c r="V91"/>
    </row>
    <row r="92" spans="3:22" x14ac:dyDescent="0.45">
      <c r="C92" t="s">
        <v>75</v>
      </c>
      <c r="E92" s="15"/>
      <c r="F92" s="15"/>
      <c r="G92" s="16"/>
      <c r="H92" s="15"/>
      <c r="I92" s="15"/>
      <c r="J92" s="15"/>
      <c r="K92" s="15"/>
      <c r="L92" s="15"/>
      <c r="M92" s="15"/>
      <c r="N92" s="69"/>
      <c r="O92" s="69"/>
      <c r="V92"/>
    </row>
    <row r="93" spans="3:22" x14ac:dyDescent="0.45">
      <c r="C93" t="s">
        <v>76</v>
      </c>
      <c r="E93" s="15"/>
      <c r="F93" s="15"/>
      <c r="G93" s="16"/>
      <c r="H93" s="15"/>
      <c r="I93" s="15"/>
      <c r="J93" s="15"/>
      <c r="K93" s="15"/>
      <c r="L93" s="15"/>
      <c r="M93" s="15"/>
      <c r="N93" s="69"/>
      <c r="O93" s="69"/>
      <c r="V93"/>
    </row>
    <row r="94" spans="3:22" x14ac:dyDescent="0.45">
      <c r="C94" t="s">
        <v>77</v>
      </c>
      <c r="E94" s="15"/>
      <c r="F94" s="15"/>
      <c r="G94" s="16"/>
      <c r="H94" s="15"/>
      <c r="I94" s="15"/>
      <c r="J94" s="15"/>
      <c r="K94" s="15"/>
      <c r="L94" s="15"/>
      <c r="M94" s="15"/>
      <c r="N94" s="69"/>
      <c r="O94" s="69"/>
      <c r="V94"/>
    </row>
    <row r="95" spans="3:22" x14ac:dyDescent="0.45">
      <c r="C95" t="s">
        <v>78</v>
      </c>
      <c r="E95" s="15"/>
      <c r="F95" s="15"/>
      <c r="G95" s="16"/>
      <c r="H95" s="15"/>
      <c r="I95" s="15"/>
      <c r="J95" s="15"/>
      <c r="K95" s="15"/>
      <c r="L95" s="15"/>
      <c r="M95" s="15"/>
      <c r="N95" s="69"/>
    </row>
    <row r="96" spans="3:22" x14ac:dyDescent="0.45">
      <c r="C96" t="s">
        <v>79</v>
      </c>
      <c r="E96" s="15"/>
      <c r="F96" s="15"/>
      <c r="G96" s="16"/>
      <c r="H96" s="15"/>
      <c r="I96" s="15"/>
      <c r="J96" s="15"/>
      <c r="K96" s="15"/>
      <c r="L96" s="15"/>
      <c r="M96" s="15"/>
      <c r="N96" s="69"/>
      <c r="P96"/>
      <c r="Q96"/>
      <c r="R96"/>
      <c r="S96"/>
      <c r="T96"/>
      <c r="U96"/>
      <c r="V96"/>
    </row>
    <row r="97" spans="1:22" x14ac:dyDescent="0.45">
      <c r="C97" t="s">
        <v>80</v>
      </c>
      <c r="E97" s="15"/>
      <c r="F97" s="15"/>
      <c r="G97" s="16"/>
      <c r="H97" s="15"/>
      <c r="I97" s="15"/>
      <c r="J97" s="15"/>
      <c r="K97" s="15"/>
      <c r="L97" s="15"/>
      <c r="M97" s="15"/>
      <c r="N97" s="69"/>
      <c r="P97"/>
      <c r="Q97"/>
      <c r="R97"/>
      <c r="S97"/>
      <c r="T97"/>
      <c r="U97"/>
      <c r="V97"/>
    </row>
    <row r="98" spans="1:22" x14ac:dyDescent="0.45">
      <c r="C98" t="s">
        <v>81</v>
      </c>
      <c r="E98" s="15"/>
      <c r="F98" s="15"/>
      <c r="G98" s="16"/>
      <c r="H98" s="15"/>
      <c r="I98" s="15"/>
      <c r="J98" s="15"/>
      <c r="K98" s="15"/>
      <c r="L98" s="15"/>
      <c r="M98" s="15"/>
      <c r="N98" s="69"/>
      <c r="P98"/>
      <c r="Q98"/>
      <c r="R98"/>
      <c r="S98"/>
      <c r="T98"/>
      <c r="U98"/>
      <c r="V98"/>
    </row>
    <row r="99" spans="1:22" x14ac:dyDescent="0.45">
      <c r="C99" t="s">
        <v>82</v>
      </c>
      <c r="E99" s="15"/>
      <c r="F99" s="15"/>
      <c r="G99" s="16" t="s">
        <v>83</v>
      </c>
      <c r="H99" s="15"/>
      <c r="I99" s="15"/>
      <c r="J99" s="15"/>
      <c r="K99" s="15"/>
      <c r="L99" s="15"/>
      <c r="M99" s="15"/>
      <c r="N99" s="69"/>
      <c r="P99"/>
      <c r="Q99"/>
      <c r="R99"/>
      <c r="S99"/>
      <c r="T99"/>
      <c r="U99"/>
      <c r="V99"/>
    </row>
    <row r="100" spans="1:22" x14ac:dyDescent="0.45">
      <c r="C100" t="s">
        <v>84</v>
      </c>
      <c r="E100" s="15"/>
      <c r="F100" s="15"/>
      <c r="G100" s="16"/>
      <c r="H100" s="15"/>
      <c r="I100" s="15"/>
      <c r="J100" s="15"/>
      <c r="K100" s="15"/>
      <c r="L100" s="15"/>
      <c r="M100" s="15"/>
      <c r="N100" s="69"/>
      <c r="P100"/>
      <c r="Q100"/>
      <c r="R100"/>
      <c r="S100"/>
      <c r="T100"/>
      <c r="U100"/>
      <c r="V100"/>
    </row>
    <row r="102" spans="1:22" x14ac:dyDescent="0.45">
      <c r="C102" t="s">
        <v>85</v>
      </c>
      <c r="O102" s="62"/>
      <c r="P102"/>
      <c r="Q102"/>
      <c r="R102"/>
      <c r="S102"/>
      <c r="T102"/>
      <c r="U102"/>
      <c r="V102"/>
    </row>
    <row r="103" spans="1:22" x14ac:dyDescent="0.45">
      <c r="C103" t="s">
        <v>86</v>
      </c>
      <c r="O103" s="62"/>
      <c r="P103"/>
      <c r="Q103"/>
      <c r="R103"/>
      <c r="S103"/>
      <c r="T103"/>
      <c r="U103"/>
      <c r="V103"/>
    </row>
    <row r="104" spans="1:22" x14ac:dyDescent="0.45">
      <c r="A104" t="s">
        <v>40</v>
      </c>
    </row>
    <row r="105" spans="1:22" x14ac:dyDescent="0.45">
      <c r="C105" t="s">
        <v>87</v>
      </c>
    </row>
    <row r="106" spans="1:22" x14ac:dyDescent="0.45">
      <c r="C106" t="s">
        <v>88</v>
      </c>
      <c r="F106" t="s">
        <v>89</v>
      </c>
    </row>
    <row r="107" spans="1:22" x14ac:dyDescent="0.45">
      <c r="C107" t="s">
        <v>90</v>
      </c>
    </row>
    <row r="108" spans="1:22" x14ac:dyDescent="0.45">
      <c r="C108" t="s">
        <v>91</v>
      </c>
    </row>
    <row r="109" spans="1:22" x14ac:dyDescent="0.45">
      <c r="C109" t="s">
        <v>92</v>
      </c>
    </row>
    <row r="110" spans="1:22" x14ac:dyDescent="0.45">
      <c r="C110" t="s">
        <v>93</v>
      </c>
    </row>
    <row r="111" spans="1:22" x14ac:dyDescent="0.45">
      <c r="C111" t="s">
        <v>94</v>
      </c>
    </row>
    <row r="112" spans="1:22" x14ac:dyDescent="0.45">
      <c r="C112" t="s">
        <v>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CE1B4-3A8C-4602-A437-1786DDE328EA}">
  <dimension ref="A1:V305"/>
  <sheetViews>
    <sheetView topLeftCell="A7" zoomScale="75" zoomScaleNormal="75" zoomScaleSheetLayoutView="75" workbookViewId="0">
      <pane xSplit="3" ySplit="8" topLeftCell="D27" activePane="bottomRight" state="frozen"/>
      <selection activeCell="A7" sqref="A7"/>
      <selection pane="topRight" activeCell="D7" sqref="D7"/>
      <selection pane="bottomLeft" activeCell="A15" sqref="A15"/>
      <selection pane="bottomRight" activeCell="B15" sqref="B15:F94"/>
    </sheetView>
  </sheetViews>
  <sheetFormatPr defaultColWidth="8.86328125" defaultRowHeight="15.75" x14ac:dyDescent="0.5"/>
  <cols>
    <col min="1" max="1" width="3.59765625" customWidth="1"/>
    <col min="2" max="2" width="8.1328125" style="148" customWidth="1"/>
    <col min="3" max="3" width="47.86328125" style="149" customWidth="1"/>
    <col min="4" max="4" width="6.1328125" style="149" customWidth="1"/>
    <col min="5" max="5" width="20.53125" style="150" customWidth="1"/>
    <col min="6" max="6" width="18.3984375" style="150" customWidth="1"/>
    <col min="7" max="7" width="35.33203125" style="150" customWidth="1"/>
    <col min="8" max="8" width="17.6640625" style="150" customWidth="1"/>
    <col min="9" max="9" width="3.59765625" style="150" customWidth="1"/>
    <col min="10" max="10" width="15.59765625" style="150" customWidth="1"/>
    <col min="11" max="11" width="18.06640625" customWidth="1"/>
    <col min="12" max="13" width="15.59765625" customWidth="1"/>
    <col min="14" max="14" width="18.59765625" customWidth="1"/>
    <col min="15" max="15" width="15.59765625" customWidth="1"/>
    <col min="16" max="16" width="30.796875" customWidth="1"/>
    <col min="17" max="19" width="15.59765625" customWidth="1"/>
    <col min="20" max="20" width="15" customWidth="1"/>
    <col min="21" max="21" width="4.3984375" hidden="1" customWidth="1"/>
    <col min="22" max="22" width="10.86328125" hidden="1" customWidth="1"/>
  </cols>
  <sheetData>
    <row r="1" spans="2:21" hidden="1" x14ac:dyDescent="0.5">
      <c r="H1" s="151">
        <f>J1/J5</f>
        <v>0.15998207483755322</v>
      </c>
      <c r="I1" s="151"/>
      <c r="J1" s="152">
        <v>2142</v>
      </c>
      <c r="K1" t="s">
        <v>50</v>
      </c>
      <c r="L1" s="52">
        <f>20000*H1</f>
        <v>3199.6414967510646</v>
      </c>
      <c r="M1" t="s">
        <v>50</v>
      </c>
    </row>
    <row r="2" spans="2:21" hidden="1" x14ac:dyDescent="0.5">
      <c r="H2" s="151">
        <f>J2/J5</f>
        <v>6.9982821719321825E-2</v>
      </c>
      <c r="I2" s="151"/>
      <c r="J2" s="152">
        <v>937</v>
      </c>
      <c r="K2" t="s">
        <v>96</v>
      </c>
      <c r="L2" s="52">
        <f t="shared" ref="L2:L4" si="0">20000*H2</f>
        <v>1399.6564343864366</v>
      </c>
      <c r="M2" t="s">
        <v>96</v>
      </c>
      <c r="P2" s="52">
        <v>100000</v>
      </c>
      <c r="Q2" t="s">
        <v>97</v>
      </c>
      <c r="R2" t="s">
        <v>60</v>
      </c>
      <c r="S2" s="52"/>
      <c r="T2" s="52">
        <v>79276</v>
      </c>
      <c r="U2" t="s">
        <v>60</v>
      </c>
    </row>
    <row r="3" spans="2:21" hidden="1" x14ac:dyDescent="0.5">
      <c r="H3" s="151">
        <f>J3/J5</f>
        <v>0.29001419075360368</v>
      </c>
      <c r="I3" s="151"/>
      <c r="J3" s="152">
        <v>3883</v>
      </c>
      <c r="K3" t="s">
        <v>64</v>
      </c>
      <c r="L3" s="52">
        <f t="shared" si="0"/>
        <v>5800.2838150720736</v>
      </c>
      <c r="M3" t="s">
        <v>64</v>
      </c>
      <c r="P3" s="52">
        <v>4177</v>
      </c>
      <c r="Q3" t="s">
        <v>50</v>
      </c>
      <c r="S3" s="153"/>
      <c r="T3" s="153">
        <f>-T21</f>
        <v>0</v>
      </c>
    </row>
    <row r="4" spans="2:21" hidden="1" x14ac:dyDescent="0.5">
      <c r="H4" s="154">
        <f>J4/J5</f>
        <v>0.48002091268952124</v>
      </c>
      <c r="I4" s="154"/>
      <c r="J4" s="155">
        <v>6427</v>
      </c>
      <c r="K4" t="s">
        <v>45</v>
      </c>
      <c r="L4" s="153">
        <f t="shared" si="0"/>
        <v>9600.4182537904253</v>
      </c>
      <c r="M4" t="s">
        <v>45</v>
      </c>
      <c r="P4" s="52">
        <v>12578</v>
      </c>
      <c r="Q4" t="s">
        <v>98</v>
      </c>
      <c r="S4" s="52"/>
      <c r="T4" s="52">
        <f>SUM(T2:T3)</f>
        <v>79276</v>
      </c>
    </row>
    <row r="5" spans="2:21" hidden="1" x14ac:dyDescent="0.5">
      <c r="H5" s="151">
        <f>SUM(H1:H4)</f>
        <v>1</v>
      </c>
      <c r="I5" s="151"/>
      <c r="J5" s="152">
        <f>SUM(J1:J4)</f>
        <v>13389</v>
      </c>
      <c r="L5" s="52">
        <f>SUM(L1:L4)</f>
        <v>20000</v>
      </c>
      <c r="P5" s="153">
        <v>4000</v>
      </c>
      <c r="Q5" t="s">
        <v>99</v>
      </c>
      <c r="S5" s="52"/>
    </row>
    <row r="6" spans="2:21" ht="16.149999999999999" hidden="1" thickBot="1" x14ac:dyDescent="0.55000000000000004">
      <c r="P6" s="156">
        <f>SUM(P2:P5)</f>
        <v>120755</v>
      </c>
      <c r="Q6" t="s">
        <v>100</v>
      </c>
    </row>
    <row r="7" spans="2:21" ht="47.25" x14ac:dyDescent="0.5">
      <c r="E7" s="289" t="s">
        <v>209</v>
      </c>
      <c r="F7" s="150" t="s">
        <v>206</v>
      </c>
      <c r="G7" s="150" t="s">
        <v>207</v>
      </c>
      <c r="P7" s="52"/>
    </row>
    <row r="8" spans="2:21" x14ac:dyDescent="0.5">
      <c r="E8" s="150" t="s">
        <v>205</v>
      </c>
      <c r="G8" s="150">
        <f>5800*7</f>
        <v>40600</v>
      </c>
      <c r="P8" s="167" t="s">
        <v>208</v>
      </c>
    </row>
    <row r="9" spans="2:21" x14ac:dyDescent="0.5">
      <c r="E9" s="150" t="s">
        <v>204</v>
      </c>
      <c r="G9" s="150" t="s">
        <v>201</v>
      </c>
      <c r="P9" t="s">
        <v>189</v>
      </c>
      <c r="Q9" s="178">
        <v>125000</v>
      </c>
    </row>
    <row r="10" spans="2:21" ht="28.9" x14ac:dyDescent="0.5">
      <c r="H10"/>
      <c r="I10"/>
      <c r="J10" s="167" t="s">
        <v>185</v>
      </c>
      <c r="L10" s="167" t="s">
        <v>186</v>
      </c>
      <c r="N10" s="288" t="s">
        <v>193</v>
      </c>
      <c r="O10" s="178">
        <v>423045</v>
      </c>
      <c r="P10" t="s">
        <v>190</v>
      </c>
      <c r="Q10" s="178">
        <v>100000</v>
      </c>
    </row>
    <row r="11" spans="2:21" x14ac:dyDescent="0.5">
      <c r="F11" s="150">
        <f>514770/12</f>
        <v>42897.5</v>
      </c>
      <c r="H11"/>
      <c r="I11"/>
      <c r="J11" t="s">
        <v>50</v>
      </c>
      <c r="L11" t="s">
        <v>50</v>
      </c>
      <c r="M11" s="7">
        <v>128750</v>
      </c>
      <c r="N11" s="288" t="s">
        <v>194</v>
      </c>
      <c r="O11" s="178">
        <v>3718663</v>
      </c>
      <c r="P11" t="s">
        <v>191</v>
      </c>
      <c r="Q11" s="178">
        <v>30000</v>
      </c>
    </row>
    <row r="12" spans="2:21" x14ac:dyDescent="0.5">
      <c r="F12" s="232">
        <f>+F49+F50</f>
        <v>360616</v>
      </c>
      <c r="G12" s="150">
        <f>F12/7</f>
        <v>51516.571428571428</v>
      </c>
      <c r="H12"/>
      <c r="I12"/>
      <c r="J12" t="s">
        <v>98</v>
      </c>
      <c r="K12" s="178">
        <v>110000</v>
      </c>
      <c r="L12" t="s">
        <v>187</v>
      </c>
      <c r="M12" s="286">
        <v>80000</v>
      </c>
      <c r="P12" t="s">
        <v>192</v>
      </c>
      <c r="Q12" s="287">
        <v>111500</v>
      </c>
    </row>
    <row r="13" spans="2:21" x14ac:dyDescent="0.5">
      <c r="H13"/>
      <c r="I13"/>
      <c r="J13"/>
      <c r="M13" s="7">
        <f>SUM(M11:M12)</f>
        <v>208750</v>
      </c>
      <c r="Q13" s="178">
        <f>SUM(Q9:Q12)</f>
        <v>366500</v>
      </c>
    </row>
    <row r="14" spans="2:21" x14ac:dyDescent="0.5">
      <c r="H14"/>
      <c r="I14"/>
      <c r="J14"/>
    </row>
    <row r="15" spans="2:21" ht="67.5" customHeight="1" x14ac:dyDescent="0.5">
      <c r="C15" s="157"/>
      <c r="D15" s="157"/>
      <c r="E15" s="158" t="s">
        <v>182</v>
      </c>
      <c r="F15" s="159" t="s">
        <v>188</v>
      </c>
      <c r="G15" s="159"/>
      <c r="H15" s="160" t="s">
        <v>183</v>
      </c>
      <c r="I15" s="158"/>
      <c r="J15" s="161" t="s">
        <v>45</v>
      </c>
      <c r="K15" s="162" t="s">
        <v>102</v>
      </c>
      <c r="L15" s="162" t="s">
        <v>103</v>
      </c>
      <c r="M15" s="162" t="s">
        <v>96</v>
      </c>
      <c r="N15" s="162" t="s">
        <v>104</v>
      </c>
      <c r="O15" s="162" t="s">
        <v>60</v>
      </c>
      <c r="P15" s="162" t="s">
        <v>50</v>
      </c>
      <c r="Q15" s="162" t="s">
        <v>98</v>
      </c>
      <c r="R15" s="163" t="s">
        <v>46</v>
      </c>
      <c r="S15" s="163" t="s">
        <v>105</v>
      </c>
      <c r="T15" s="162" t="s">
        <v>106</v>
      </c>
    </row>
    <row r="16" spans="2:21" s="167" customFormat="1" ht="24.4" customHeight="1" x14ac:dyDescent="0.5">
      <c r="B16" s="164" t="s">
        <v>107</v>
      </c>
      <c r="C16" s="165" t="s">
        <v>108</v>
      </c>
      <c r="D16" s="165"/>
      <c r="E16" s="166"/>
      <c r="H16" s="168"/>
      <c r="I16" s="166"/>
      <c r="J16" s="166"/>
      <c r="O16" s="169"/>
    </row>
    <row r="17" spans="1:22" ht="15.4" x14ac:dyDescent="0.45">
      <c r="A17" s="170"/>
      <c r="B17" s="171">
        <v>4110</v>
      </c>
      <c r="C17" s="172" t="s">
        <v>109</v>
      </c>
      <c r="D17" s="172"/>
      <c r="E17" s="173">
        <v>1240420</v>
      </c>
      <c r="F17" s="174">
        <v>532695</v>
      </c>
      <c r="G17" s="174"/>
      <c r="H17" s="175">
        <v>0</v>
      </c>
      <c r="I17" s="173"/>
      <c r="J17" s="176" t="s">
        <v>0</v>
      </c>
      <c r="K17" s="177"/>
      <c r="L17" s="177"/>
      <c r="M17" s="177"/>
      <c r="N17" s="177"/>
      <c r="O17" s="177" t="s">
        <v>0</v>
      </c>
      <c r="P17" s="177">
        <v>0</v>
      </c>
      <c r="Q17" s="177">
        <v>0</v>
      </c>
      <c r="R17" s="177">
        <v>0</v>
      </c>
      <c r="S17" s="177">
        <v>0</v>
      </c>
      <c r="T17" s="174">
        <f t="shared" ref="T17:T24" si="1">SUM(J17:S17)</f>
        <v>0</v>
      </c>
      <c r="V17" s="178">
        <f>+T17</f>
        <v>0</v>
      </c>
    </row>
    <row r="18" spans="1:22" ht="15.4" x14ac:dyDescent="0.45">
      <c r="A18" s="170"/>
      <c r="B18" s="171"/>
      <c r="C18" s="172" t="s">
        <v>110</v>
      </c>
      <c r="D18" s="172"/>
      <c r="E18" s="179"/>
      <c r="F18" s="180"/>
      <c r="G18" s="180"/>
      <c r="H18" s="181"/>
      <c r="I18" s="173"/>
      <c r="J18" s="176">
        <v>0</v>
      </c>
      <c r="K18" s="177"/>
      <c r="L18" s="177"/>
      <c r="M18" s="177"/>
      <c r="N18" s="177"/>
      <c r="O18" s="177"/>
      <c r="P18" s="177"/>
      <c r="Q18" s="177"/>
      <c r="R18" s="177"/>
      <c r="S18" s="177"/>
      <c r="T18" s="182">
        <f t="shared" si="1"/>
        <v>0</v>
      </c>
      <c r="V18" s="178">
        <f>+T18</f>
        <v>0</v>
      </c>
    </row>
    <row r="19" spans="1:22" ht="15.4" x14ac:dyDescent="0.45">
      <c r="A19" s="170"/>
      <c r="B19" s="171"/>
      <c r="C19" s="172" t="s">
        <v>111</v>
      </c>
      <c r="D19" s="172"/>
      <c r="E19" s="179"/>
      <c r="F19" s="180"/>
      <c r="G19" s="180"/>
      <c r="H19" s="181"/>
      <c r="I19" s="173"/>
      <c r="J19" s="179"/>
      <c r="K19" s="180"/>
      <c r="L19" s="180"/>
      <c r="M19" s="180"/>
      <c r="N19" s="180"/>
      <c r="O19" s="180"/>
      <c r="P19" s="180"/>
      <c r="Q19" s="180">
        <v>0</v>
      </c>
      <c r="R19" s="180"/>
      <c r="S19" s="180"/>
      <c r="T19" s="182">
        <f t="shared" si="1"/>
        <v>0</v>
      </c>
      <c r="V19" s="178">
        <f>+T19</f>
        <v>0</v>
      </c>
    </row>
    <row r="20" spans="1:22" ht="15.4" x14ac:dyDescent="0.45">
      <c r="A20" s="170"/>
      <c r="B20" s="171"/>
      <c r="C20" s="172" t="s">
        <v>51</v>
      </c>
      <c r="D20" s="172"/>
      <c r="E20" s="179"/>
      <c r="F20" s="180"/>
      <c r="G20" s="180"/>
      <c r="H20" s="181">
        <v>68760</v>
      </c>
      <c r="I20" s="173"/>
      <c r="J20" s="179"/>
      <c r="K20" s="180"/>
      <c r="L20" s="180"/>
      <c r="M20" s="180"/>
      <c r="N20" s="180"/>
      <c r="O20" s="180" t="s">
        <v>0</v>
      </c>
      <c r="P20" s="180"/>
      <c r="Q20" s="180"/>
      <c r="R20" s="180"/>
      <c r="S20" s="180"/>
      <c r="T20" s="182">
        <f t="shared" si="1"/>
        <v>0</v>
      </c>
      <c r="V20" s="178">
        <f>+T20</f>
        <v>0</v>
      </c>
    </row>
    <row r="21" spans="1:22" ht="15.4" x14ac:dyDescent="0.45">
      <c r="A21" s="170"/>
      <c r="B21" s="171"/>
      <c r="C21" s="172" t="s">
        <v>112</v>
      </c>
      <c r="D21" s="172"/>
      <c r="E21" s="179"/>
      <c r="F21" s="180"/>
      <c r="G21" s="180"/>
      <c r="H21" s="181"/>
      <c r="I21" s="173"/>
      <c r="J21" s="179"/>
      <c r="K21" s="180"/>
      <c r="L21" s="180"/>
      <c r="M21" s="180"/>
      <c r="N21" s="180"/>
      <c r="O21" s="180">
        <v>0</v>
      </c>
      <c r="P21" s="180">
        <v>0</v>
      </c>
      <c r="Q21" s="180">
        <v>0</v>
      </c>
      <c r="R21" s="180"/>
      <c r="S21" s="180"/>
      <c r="T21" s="182">
        <f t="shared" si="1"/>
        <v>0</v>
      </c>
      <c r="V21" s="178">
        <f>+T21</f>
        <v>0</v>
      </c>
    </row>
    <row r="22" spans="1:22" ht="15.4" x14ac:dyDescent="0.45">
      <c r="A22" s="170"/>
      <c r="B22" s="171">
        <v>4120</v>
      </c>
      <c r="C22" s="172" t="s">
        <v>113</v>
      </c>
      <c r="D22" s="172"/>
      <c r="E22" s="179">
        <v>148000</v>
      </c>
      <c r="F22" s="180">
        <v>118464</v>
      </c>
      <c r="G22" s="180"/>
      <c r="H22" s="181">
        <v>0</v>
      </c>
      <c r="I22" s="183"/>
      <c r="J22" s="179">
        <v>0</v>
      </c>
      <c r="K22" s="180"/>
      <c r="L22" s="180"/>
      <c r="M22" s="180"/>
      <c r="N22" s="180"/>
      <c r="O22" s="180"/>
      <c r="P22" s="180"/>
      <c r="Q22" s="180" t="s">
        <v>0</v>
      </c>
      <c r="R22" s="180"/>
      <c r="S22" s="180"/>
      <c r="T22" s="182">
        <f t="shared" si="1"/>
        <v>0</v>
      </c>
    </row>
    <row r="23" spans="1:22" ht="15.4" x14ac:dyDescent="0.45">
      <c r="A23" s="170"/>
      <c r="B23" s="171">
        <v>4150</v>
      </c>
      <c r="C23" s="172" t="s">
        <v>114</v>
      </c>
      <c r="D23" s="172"/>
      <c r="E23" s="179">
        <v>514700</v>
      </c>
      <c r="F23" s="180">
        <v>250197</v>
      </c>
      <c r="G23" s="180"/>
      <c r="H23" s="181">
        <v>0</v>
      </c>
      <c r="I23" s="183"/>
      <c r="J23" s="179"/>
      <c r="K23" s="179">
        <v>0</v>
      </c>
      <c r="L23" s="179">
        <v>0</v>
      </c>
      <c r="M23" s="179">
        <v>0</v>
      </c>
      <c r="N23" s="179">
        <v>0</v>
      </c>
      <c r="O23" s="179"/>
      <c r="P23" s="184"/>
      <c r="Q23" s="184"/>
      <c r="R23" s="184"/>
      <c r="S23" s="184"/>
      <c r="T23" s="182">
        <f t="shared" si="1"/>
        <v>0</v>
      </c>
    </row>
    <row r="24" spans="1:22" ht="15.4" x14ac:dyDescent="0.45">
      <c r="A24" s="170"/>
      <c r="B24" s="171">
        <v>4990</v>
      </c>
      <c r="C24" s="172" t="s">
        <v>115</v>
      </c>
      <c r="D24" s="172"/>
      <c r="E24" s="179">
        <v>0</v>
      </c>
      <c r="F24" s="185">
        <f>664+120</f>
        <v>784</v>
      </c>
      <c r="G24" s="180"/>
      <c r="H24" s="181"/>
      <c r="I24" s="183"/>
      <c r="J24" s="186"/>
      <c r="K24" s="187"/>
      <c r="L24" s="187"/>
      <c r="M24" s="187"/>
      <c r="N24" s="187"/>
      <c r="O24" s="187"/>
      <c r="P24" s="187"/>
      <c r="Q24" s="187"/>
      <c r="R24" s="187"/>
      <c r="S24" s="187"/>
      <c r="T24" s="188">
        <f t="shared" si="1"/>
        <v>0</v>
      </c>
      <c r="V24" s="189"/>
    </row>
    <row r="25" spans="1:22" thickBot="1" x14ac:dyDescent="0.5">
      <c r="A25" s="170"/>
      <c r="B25" s="171"/>
      <c r="C25" s="190" t="s">
        <v>116</v>
      </c>
      <c r="D25" s="190"/>
      <c r="E25" s="191">
        <f>SUM(E17:E24)</f>
        <v>1903120</v>
      </c>
      <c r="F25" s="192">
        <f>SUM(F17:F24)</f>
        <v>902140</v>
      </c>
      <c r="G25" s="192"/>
      <c r="H25" s="193">
        <f>SUM(H17:H24)</f>
        <v>68760</v>
      </c>
      <c r="I25" s="191"/>
      <c r="J25" s="194">
        <f>SUM(J17:J24)</f>
        <v>0</v>
      </c>
      <c r="K25" s="194">
        <f t="shared" ref="K25:S25" si="2">SUM(K17:K24)</f>
        <v>0</v>
      </c>
      <c r="L25" s="194">
        <f t="shared" si="2"/>
        <v>0</v>
      </c>
      <c r="M25" s="194">
        <f t="shared" si="2"/>
        <v>0</v>
      </c>
      <c r="N25" s="194">
        <f t="shared" si="2"/>
        <v>0</v>
      </c>
      <c r="O25" s="194">
        <f t="shared" si="2"/>
        <v>0</v>
      </c>
      <c r="P25" s="194">
        <f t="shared" si="2"/>
        <v>0</v>
      </c>
      <c r="Q25" s="194">
        <f t="shared" si="2"/>
        <v>0</v>
      </c>
      <c r="R25" s="194">
        <f t="shared" si="2"/>
        <v>0</v>
      </c>
      <c r="S25" s="194">
        <f t="shared" si="2"/>
        <v>0</v>
      </c>
      <c r="T25" s="194">
        <f>SUM(T17:T24)</f>
        <v>0</v>
      </c>
      <c r="V25" s="52">
        <f>SUM(V17:V24)</f>
        <v>0</v>
      </c>
    </row>
    <row r="26" spans="1:22" thickTop="1" x14ac:dyDescent="0.45">
      <c r="A26" s="170"/>
      <c r="B26" s="171"/>
      <c r="C26" s="172"/>
      <c r="D26" s="172"/>
      <c r="E26" s="195"/>
      <c r="F26" s="196"/>
      <c r="G26" s="196"/>
      <c r="H26" s="197"/>
      <c r="I26" s="195"/>
      <c r="J26" s="195"/>
      <c r="K26" s="178"/>
      <c r="L26" s="178"/>
      <c r="M26" s="178"/>
      <c r="N26" s="178"/>
      <c r="O26" s="178"/>
      <c r="T26" s="198" t="s">
        <v>0</v>
      </c>
      <c r="V26" s="189">
        <v>-164774</v>
      </c>
    </row>
    <row r="27" spans="1:22" ht="15.4" x14ac:dyDescent="0.45">
      <c r="A27" s="170"/>
      <c r="B27" s="171"/>
      <c r="C27" s="165" t="s">
        <v>117</v>
      </c>
      <c r="D27" s="165"/>
      <c r="E27" s="195"/>
      <c r="F27" s="196"/>
      <c r="G27" s="196"/>
      <c r="H27" s="197"/>
      <c r="I27" s="195"/>
      <c r="J27" s="195"/>
      <c r="K27" s="178"/>
      <c r="L27" s="178"/>
      <c r="M27" s="178"/>
      <c r="N27" s="178"/>
      <c r="O27" s="178"/>
      <c r="T27" s="198" t="s">
        <v>0</v>
      </c>
      <c r="V27" s="52">
        <f>SUM(V25:V26)</f>
        <v>-164774</v>
      </c>
    </row>
    <row r="28" spans="1:22" ht="15.4" x14ac:dyDescent="0.45">
      <c r="A28" s="170"/>
      <c r="B28" s="171">
        <v>6000</v>
      </c>
      <c r="C28" s="172" t="s">
        <v>118</v>
      </c>
      <c r="D28" s="172"/>
      <c r="E28" s="173">
        <v>379590</v>
      </c>
      <c r="F28" s="174">
        <f>167850+70000</f>
        <v>237850</v>
      </c>
      <c r="G28" s="174"/>
      <c r="H28" s="175">
        <v>0</v>
      </c>
      <c r="I28" s="173"/>
      <c r="J28" s="176">
        <v>0</v>
      </c>
      <c r="K28" s="177"/>
      <c r="L28" s="177"/>
      <c r="M28" s="177"/>
      <c r="N28" s="177"/>
      <c r="O28" s="177">
        <v>0</v>
      </c>
      <c r="P28" s="177">
        <v>0</v>
      </c>
      <c r="Q28" s="177"/>
      <c r="R28" s="177">
        <v>0</v>
      </c>
      <c r="S28" s="177"/>
      <c r="T28" s="174">
        <f t="shared" ref="T28:T34" si="3">SUM(J28:R28)</f>
        <v>0</v>
      </c>
    </row>
    <row r="29" spans="1:22" ht="15.4" x14ac:dyDescent="0.45">
      <c r="A29" s="170"/>
      <c r="B29" s="171">
        <v>6010</v>
      </c>
      <c r="C29" s="172" t="s">
        <v>119</v>
      </c>
      <c r="D29" s="172"/>
      <c r="E29" s="179">
        <v>0</v>
      </c>
      <c r="F29" s="180">
        <v>0</v>
      </c>
      <c r="G29" s="180"/>
      <c r="H29" s="181">
        <v>0</v>
      </c>
      <c r="I29" s="183"/>
      <c r="J29" s="179">
        <v>0</v>
      </c>
      <c r="K29" s="180"/>
      <c r="L29" s="180"/>
      <c r="M29" s="180"/>
      <c r="N29" s="180"/>
      <c r="O29" s="180"/>
      <c r="P29" s="180"/>
      <c r="Q29" s="180"/>
      <c r="R29" s="180"/>
      <c r="S29" s="177"/>
      <c r="T29" s="180">
        <f t="shared" si="3"/>
        <v>0</v>
      </c>
    </row>
    <row r="30" spans="1:22" ht="15.4" x14ac:dyDescent="0.45">
      <c r="A30" s="170"/>
      <c r="B30" s="171">
        <v>6100</v>
      </c>
      <c r="C30" s="172" t="s">
        <v>15</v>
      </c>
      <c r="D30" s="172"/>
      <c r="E30" s="179">
        <v>19858</v>
      </c>
      <c r="F30" s="180">
        <v>11385</v>
      </c>
      <c r="G30" s="180"/>
      <c r="H30" s="181">
        <v>0</v>
      </c>
      <c r="I30" s="183"/>
      <c r="J30" s="179">
        <v>0</v>
      </c>
      <c r="K30" s="180"/>
      <c r="L30" s="180"/>
      <c r="M30" s="180"/>
      <c r="N30" s="180"/>
      <c r="O30" s="180">
        <v>0</v>
      </c>
      <c r="P30" s="180">
        <v>0</v>
      </c>
      <c r="Q30" s="180"/>
      <c r="R30" s="180">
        <v>0</v>
      </c>
      <c r="S30" s="177"/>
      <c r="T30" s="180">
        <f t="shared" si="3"/>
        <v>0</v>
      </c>
    </row>
    <row r="31" spans="1:22" ht="15.4" x14ac:dyDescent="0.45">
      <c r="A31" s="170"/>
      <c r="B31" s="171">
        <v>6110</v>
      </c>
      <c r="C31" s="172" t="s">
        <v>120</v>
      </c>
      <c r="D31" s="172"/>
      <c r="E31" s="179">
        <v>3649</v>
      </c>
      <c r="F31" s="180">
        <v>3353</v>
      </c>
      <c r="G31" s="180"/>
      <c r="H31" s="181">
        <v>0</v>
      </c>
      <c r="I31" s="183"/>
      <c r="J31" s="179">
        <v>0</v>
      </c>
      <c r="K31" s="180"/>
      <c r="L31" s="180"/>
      <c r="M31" s="180"/>
      <c r="N31" s="180"/>
      <c r="O31" s="180">
        <v>0</v>
      </c>
      <c r="P31" s="180">
        <v>0</v>
      </c>
      <c r="Q31" s="180"/>
      <c r="R31" s="180">
        <v>0</v>
      </c>
      <c r="S31" s="177"/>
      <c r="T31" s="180">
        <f t="shared" si="3"/>
        <v>0</v>
      </c>
    </row>
    <row r="32" spans="1:22" ht="15.4" x14ac:dyDescent="0.45">
      <c r="A32" s="170"/>
      <c r="B32" s="171">
        <v>6200</v>
      </c>
      <c r="C32" s="199" t="s">
        <v>121</v>
      </c>
      <c r="D32" s="199"/>
      <c r="E32" s="179">
        <v>23567</v>
      </c>
      <c r="F32" s="180">
        <v>20370</v>
      </c>
      <c r="G32" s="180"/>
      <c r="H32" s="181"/>
      <c r="I32" s="183"/>
      <c r="J32" s="179">
        <v>0</v>
      </c>
      <c r="K32" s="180"/>
      <c r="L32" s="180"/>
      <c r="M32" s="180"/>
      <c r="N32" s="180"/>
      <c r="O32" s="180">
        <v>0</v>
      </c>
      <c r="P32" s="180">
        <v>0</v>
      </c>
      <c r="Q32" s="180"/>
      <c r="R32" s="180">
        <v>0</v>
      </c>
      <c r="S32" s="177"/>
      <c r="T32" s="180">
        <f t="shared" si="3"/>
        <v>0</v>
      </c>
    </row>
    <row r="33" spans="1:20" ht="15.4" x14ac:dyDescent="0.45">
      <c r="A33" s="170"/>
      <c r="B33" s="171">
        <v>6210</v>
      </c>
      <c r="C33" s="199" t="s">
        <v>122</v>
      </c>
      <c r="D33" s="199"/>
      <c r="E33" s="179">
        <v>36862</v>
      </c>
      <c r="F33" s="180">
        <v>23834</v>
      </c>
      <c r="G33" s="180"/>
      <c r="H33" s="181"/>
      <c r="I33" s="183"/>
      <c r="J33" s="179">
        <v>0</v>
      </c>
      <c r="K33" s="180"/>
      <c r="L33" s="180"/>
      <c r="M33" s="180"/>
      <c r="N33" s="180"/>
      <c r="O33" s="180">
        <v>0</v>
      </c>
      <c r="P33" s="180">
        <v>0</v>
      </c>
      <c r="Q33" s="180"/>
      <c r="R33" s="180">
        <v>0</v>
      </c>
      <c r="S33" s="177"/>
      <c r="T33" s="180">
        <f t="shared" si="3"/>
        <v>0</v>
      </c>
    </row>
    <row r="34" spans="1:20" ht="15.4" x14ac:dyDescent="0.45">
      <c r="A34" s="170"/>
      <c r="B34" s="171">
        <v>6215</v>
      </c>
      <c r="C34" s="199" t="s">
        <v>123</v>
      </c>
      <c r="D34" s="199"/>
      <c r="E34" s="179">
        <v>546</v>
      </c>
      <c r="F34" s="185">
        <v>420</v>
      </c>
      <c r="G34" s="180"/>
      <c r="H34" s="181"/>
      <c r="I34" s="183"/>
      <c r="J34" s="186">
        <v>0</v>
      </c>
      <c r="K34" s="185"/>
      <c r="L34" s="185"/>
      <c r="M34" s="185"/>
      <c r="N34" s="185"/>
      <c r="O34" s="185">
        <v>0</v>
      </c>
      <c r="P34" s="185">
        <v>0</v>
      </c>
      <c r="Q34" s="185"/>
      <c r="R34" s="185">
        <v>0</v>
      </c>
      <c r="S34" s="200"/>
      <c r="T34" s="185">
        <f t="shared" si="3"/>
        <v>0</v>
      </c>
    </row>
    <row r="35" spans="1:20" s="207" customFormat="1" ht="18" x14ac:dyDescent="0.55000000000000004">
      <c r="A35" s="201"/>
      <c r="B35" s="171"/>
      <c r="C35" s="165" t="s">
        <v>124</v>
      </c>
      <c r="D35" s="165"/>
      <c r="E35" s="202">
        <f t="shared" ref="E35:H35" si="4">SUM(E28:E34)</f>
        <v>464072</v>
      </c>
      <c r="F35" s="203">
        <f>SUM(F28:F34)</f>
        <v>297212</v>
      </c>
      <c r="G35" s="203"/>
      <c r="H35" s="204">
        <f t="shared" si="4"/>
        <v>0</v>
      </c>
      <c r="I35" s="205"/>
      <c r="J35" s="206">
        <f>SUM(J28:J34)</f>
        <v>0</v>
      </c>
      <c r="K35" s="206">
        <f t="shared" ref="K35:T35" si="5">SUM(K28:K34)</f>
        <v>0</v>
      </c>
      <c r="L35" s="206">
        <f t="shared" si="5"/>
        <v>0</v>
      </c>
      <c r="M35" s="206">
        <f t="shared" si="5"/>
        <v>0</v>
      </c>
      <c r="N35" s="206">
        <f t="shared" si="5"/>
        <v>0</v>
      </c>
      <c r="O35" s="206">
        <f>SUM(O28:O34)</f>
        <v>0</v>
      </c>
      <c r="P35" s="206">
        <f t="shared" si="5"/>
        <v>0</v>
      </c>
      <c r="Q35" s="206">
        <f t="shared" si="5"/>
        <v>0</v>
      </c>
      <c r="R35" s="206">
        <f t="shared" si="5"/>
        <v>0</v>
      </c>
      <c r="S35" s="206"/>
      <c r="T35" s="206">
        <f t="shared" si="5"/>
        <v>0</v>
      </c>
    </row>
    <row r="36" spans="1:20" ht="15.4" x14ac:dyDescent="0.45">
      <c r="A36" s="170"/>
      <c r="B36" s="171"/>
      <c r="C36" s="208"/>
      <c r="D36" s="208"/>
      <c r="E36" s="209"/>
      <c r="F36" s="196"/>
      <c r="G36" s="196"/>
      <c r="H36" s="210"/>
      <c r="I36" s="209"/>
      <c r="J36" s="211"/>
      <c r="K36" s="52"/>
      <c r="L36" s="52"/>
      <c r="M36" s="52"/>
      <c r="N36" s="52"/>
      <c r="O36" s="52"/>
      <c r="P36" s="52"/>
      <c r="Q36" s="52"/>
      <c r="R36" s="52"/>
      <c r="S36" s="52"/>
      <c r="T36" s="198" t="s">
        <v>0</v>
      </c>
    </row>
    <row r="37" spans="1:20" ht="15.4" x14ac:dyDescent="0.45">
      <c r="A37" s="170"/>
      <c r="B37" s="171"/>
      <c r="C37" s="172"/>
      <c r="D37" s="172"/>
      <c r="E37" s="195"/>
      <c r="F37" s="196"/>
      <c r="G37" s="196"/>
      <c r="H37" s="197"/>
      <c r="I37" s="195"/>
      <c r="J37" s="212"/>
      <c r="K37" s="52"/>
      <c r="L37" s="52"/>
      <c r="M37" s="52"/>
      <c r="N37" s="52"/>
      <c r="O37" s="52"/>
      <c r="P37" s="52"/>
      <c r="Q37" s="52"/>
      <c r="R37" s="52"/>
      <c r="S37" s="52"/>
      <c r="T37" s="198" t="s">
        <v>0</v>
      </c>
    </row>
    <row r="38" spans="1:20" ht="15.4" x14ac:dyDescent="0.45">
      <c r="A38" s="170"/>
      <c r="B38" s="171">
        <v>6300</v>
      </c>
      <c r="C38" s="213" t="s">
        <v>125</v>
      </c>
      <c r="D38" s="213"/>
      <c r="E38" s="176">
        <v>12000</v>
      </c>
      <c r="F38" s="177">
        <v>11789</v>
      </c>
      <c r="G38" s="177" t="s">
        <v>195</v>
      </c>
      <c r="H38" s="214">
        <v>0</v>
      </c>
      <c r="I38" s="183"/>
      <c r="J38" s="176">
        <v>0</v>
      </c>
      <c r="K38" s="177"/>
      <c r="L38" s="177"/>
      <c r="M38" s="177" t="s">
        <v>0</v>
      </c>
      <c r="N38" s="177"/>
      <c r="O38" s="177"/>
      <c r="P38" s="177" t="s">
        <v>0</v>
      </c>
      <c r="Q38" s="177"/>
      <c r="R38" s="177"/>
      <c r="S38" s="177"/>
      <c r="T38" s="177">
        <f t="shared" ref="T38:T51" si="6">SUM(J38:R38)</f>
        <v>0</v>
      </c>
    </row>
    <row r="39" spans="1:20" ht="15.4" x14ac:dyDescent="0.45">
      <c r="A39" s="170"/>
      <c r="B39" s="171">
        <v>6310</v>
      </c>
      <c r="C39" s="213" t="s">
        <v>126</v>
      </c>
      <c r="D39" s="213"/>
      <c r="E39" s="179">
        <v>16800</v>
      </c>
      <c r="F39" s="180">
        <v>0</v>
      </c>
      <c r="G39" s="180" t="s">
        <v>196</v>
      </c>
      <c r="H39" s="181">
        <v>0</v>
      </c>
      <c r="I39" s="183"/>
      <c r="J39" s="179">
        <v>0</v>
      </c>
      <c r="K39" s="180"/>
      <c r="L39" s="180"/>
      <c r="M39" s="180">
        <v>0</v>
      </c>
      <c r="N39" s="180"/>
      <c r="O39" s="180"/>
      <c r="P39" s="180">
        <v>0</v>
      </c>
      <c r="Q39" s="180"/>
      <c r="R39" s="180">
        <v>0</v>
      </c>
      <c r="S39" s="180"/>
      <c r="T39" s="180">
        <f t="shared" si="6"/>
        <v>0</v>
      </c>
    </row>
    <row r="40" spans="1:20" ht="15.4" x14ac:dyDescent="0.45">
      <c r="A40" s="170"/>
      <c r="B40" s="171">
        <v>6320</v>
      </c>
      <c r="C40" s="199" t="s">
        <v>127</v>
      </c>
      <c r="D40" s="199"/>
      <c r="E40" s="179">
        <v>48500</v>
      </c>
      <c r="F40" s="180">
        <v>29073</v>
      </c>
      <c r="G40" s="180" t="s">
        <v>199</v>
      </c>
      <c r="H40" s="181">
        <v>0</v>
      </c>
      <c r="I40" s="183"/>
      <c r="J40" s="179">
        <v>0</v>
      </c>
      <c r="K40" s="180"/>
      <c r="L40" s="180"/>
      <c r="M40" s="180"/>
      <c r="N40" s="180"/>
      <c r="O40" s="180"/>
      <c r="P40" s="180"/>
      <c r="Q40" s="180"/>
      <c r="R40" s="180">
        <v>0</v>
      </c>
      <c r="S40" s="180"/>
      <c r="T40" s="180">
        <f t="shared" si="6"/>
        <v>0</v>
      </c>
    </row>
    <row r="41" spans="1:20" ht="15.4" x14ac:dyDescent="0.45">
      <c r="A41" s="170"/>
      <c r="B41" s="171">
        <v>6330</v>
      </c>
      <c r="C41" s="172" t="s">
        <v>198</v>
      </c>
      <c r="D41" s="172"/>
      <c r="E41" s="179">
        <v>36000</v>
      </c>
      <c r="F41" s="180">
        <v>24000</v>
      </c>
      <c r="G41" s="180" t="s">
        <v>197</v>
      </c>
      <c r="H41" s="181">
        <v>0</v>
      </c>
      <c r="I41" s="183"/>
      <c r="J41" s="179">
        <f>+H41</f>
        <v>0</v>
      </c>
      <c r="K41" s="180"/>
      <c r="L41" s="180"/>
      <c r="M41" s="180"/>
      <c r="N41" s="180"/>
      <c r="O41" s="180"/>
      <c r="P41" s="180"/>
      <c r="Q41" s="180"/>
      <c r="R41" s="180"/>
      <c r="S41" s="180"/>
      <c r="T41" s="180">
        <f t="shared" si="6"/>
        <v>0</v>
      </c>
    </row>
    <row r="42" spans="1:20" ht="15.4" x14ac:dyDescent="0.45">
      <c r="A42" s="170"/>
      <c r="B42" s="171">
        <v>6340</v>
      </c>
      <c r="C42" s="172" t="s">
        <v>129</v>
      </c>
      <c r="D42" s="172"/>
      <c r="E42" s="179">
        <v>4450</v>
      </c>
      <c r="F42" s="180">
        <v>2508</v>
      </c>
      <c r="G42" s="180" t="s">
        <v>200</v>
      </c>
      <c r="H42" s="181">
        <v>0</v>
      </c>
      <c r="I42" s="183"/>
      <c r="J42" s="179">
        <f>H42*25%</f>
        <v>0</v>
      </c>
      <c r="K42" s="180"/>
      <c r="L42" s="180"/>
      <c r="M42" s="180"/>
      <c r="N42" s="180"/>
      <c r="O42" s="180" t="s">
        <v>0</v>
      </c>
      <c r="P42" s="180">
        <v>0</v>
      </c>
      <c r="Q42" s="180"/>
      <c r="R42" s="180">
        <v>0</v>
      </c>
      <c r="S42" s="180"/>
      <c r="T42" s="180">
        <f t="shared" si="6"/>
        <v>0</v>
      </c>
    </row>
    <row r="43" spans="1:20" ht="15.4" x14ac:dyDescent="0.45">
      <c r="A43" s="170"/>
      <c r="B43" s="171">
        <v>6350</v>
      </c>
      <c r="C43" s="213" t="s">
        <v>202</v>
      </c>
      <c r="D43" s="213"/>
      <c r="E43" s="179">
        <v>76000</v>
      </c>
      <c r="F43" s="180">
        <f>168568-70000</f>
        <v>98568</v>
      </c>
      <c r="G43" s="180"/>
      <c r="H43" s="181">
        <v>0</v>
      </c>
      <c r="I43" s="183"/>
      <c r="J43" s="179">
        <v>0</v>
      </c>
      <c r="K43" s="180"/>
      <c r="L43" s="180"/>
      <c r="M43" s="180"/>
      <c r="N43" s="180"/>
      <c r="O43" s="180"/>
      <c r="P43" s="180"/>
      <c r="Q43" s="180"/>
      <c r="R43" s="180"/>
      <c r="S43" s="180"/>
      <c r="T43" s="180">
        <f t="shared" si="6"/>
        <v>0</v>
      </c>
    </row>
    <row r="44" spans="1:20" ht="15.4" x14ac:dyDescent="0.45">
      <c r="A44" s="170"/>
      <c r="B44" s="171">
        <v>6360</v>
      </c>
      <c r="C44" s="199" t="s">
        <v>203</v>
      </c>
      <c r="D44" s="199"/>
      <c r="E44" s="179">
        <v>37910</v>
      </c>
      <c r="F44" s="180">
        <v>33592</v>
      </c>
      <c r="G44" s="180"/>
      <c r="H44" s="181">
        <v>0</v>
      </c>
      <c r="I44" s="183"/>
      <c r="J44" s="179">
        <v>0</v>
      </c>
      <c r="K44" s="180"/>
      <c r="L44" s="180"/>
      <c r="M44" s="180"/>
      <c r="N44" s="180"/>
      <c r="O44" s="180" t="s">
        <v>0</v>
      </c>
      <c r="P44" s="180">
        <v>0</v>
      </c>
      <c r="Q44" s="180"/>
      <c r="R44" s="180">
        <v>0</v>
      </c>
      <c r="S44" s="180"/>
      <c r="T44" s="180">
        <f t="shared" si="6"/>
        <v>0</v>
      </c>
    </row>
    <row r="45" spans="1:20" ht="15.4" x14ac:dyDescent="0.45">
      <c r="A45" s="170"/>
      <c r="B45" s="171">
        <v>6365</v>
      </c>
      <c r="C45" s="199" t="s">
        <v>210</v>
      </c>
      <c r="D45" s="199"/>
      <c r="E45" s="179">
        <v>0</v>
      </c>
      <c r="F45" s="180">
        <v>0</v>
      </c>
      <c r="G45" s="180" t="s">
        <v>211</v>
      </c>
      <c r="H45" s="181">
        <v>0</v>
      </c>
      <c r="I45" s="183"/>
      <c r="J45" s="179">
        <v>0</v>
      </c>
      <c r="K45" s="180"/>
      <c r="L45" s="180"/>
      <c r="M45" s="180"/>
      <c r="N45" s="180"/>
      <c r="O45" s="180"/>
      <c r="P45" s="180">
        <v>0</v>
      </c>
      <c r="Q45" s="180"/>
      <c r="R45" s="180">
        <v>0</v>
      </c>
      <c r="S45" s="180"/>
      <c r="T45" s="180">
        <f t="shared" si="6"/>
        <v>0</v>
      </c>
    </row>
    <row r="46" spans="1:20" ht="15.4" x14ac:dyDescent="0.45">
      <c r="A46" s="170"/>
      <c r="B46" s="171"/>
      <c r="C46" s="199" t="s">
        <v>212</v>
      </c>
      <c r="D46" s="199"/>
      <c r="E46" s="179"/>
      <c r="F46" s="180"/>
      <c r="G46" s="180"/>
      <c r="H46" s="181"/>
      <c r="I46" s="183"/>
      <c r="J46" s="179"/>
      <c r="K46" s="180"/>
      <c r="L46" s="180"/>
      <c r="M46" s="180"/>
      <c r="N46" s="180"/>
      <c r="O46" s="180"/>
      <c r="P46" s="180"/>
      <c r="Q46" s="180"/>
      <c r="R46" s="180"/>
      <c r="S46" s="180"/>
      <c r="T46" s="180"/>
    </row>
    <row r="47" spans="1:20" ht="15.4" x14ac:dyDescent="0.45">
      <c r="A47" s="170"/>
      <c r="B47" s="171">
        <v>6370</v>
      </c>
      <c r="C47" s="199" t="s">
        <v>133</v>
      </c>
      <c r="D47" s="199"/>
      <c r="E47" s="179">
        <v>2550</v>
      </c>
      <c r="F47" s="180">
        <v>681</v>
      </c>
      <c r="G47" s="180" t="s">
        <v>213</v>
      </c>
      <c r="H47" s="181">
        <v>0</v>
      </c>
      <c r="I47" s="183"/>
      <c r="J47" s="179">
        <v>0</v>
      </c>
      <c r="K47" s="180"/>
      <c r="L47" s="180"/>
      <c r="M47" s="180"/>
      <c r="N47" s="180"/>
      <c r="O47" s="180"/>
      <c r="P47" s="180"/>
      <c r="Q47" s="180"/>
      <c r="R47" s="180">
        <v>0</v>
      </c>
      <c r="S47" s="180"/>
      <c r="T47" s="180">
        <f t="shared" si="6"/>
        <v>0</v>
      </c>
    </row>
    <row r="48" spans="1:20" ht="15.4" x14ac:dyDescent="0.45">
      <c r="A48" s="170"/>
      <c r="B48" s="171">
        <v>6375</v>
      </c>
      <c r="C48" s="199" t="s">
        <v>134</v>
      </c>
      <c r="D48" s="199"/>
      <c r="E48" s="179">
        <v>164000</v>
      </c>
      <c r="F48" s="180">
        <v>79250</v>
      </c>
      <c r="G48" s="180" t="s">
        <v>214</v>
      </c>
      <c r="H48" s="181">
        <v>0</v>
      </c>
      <c r="I48" s="183"/>
      <c r="J48" s="179"/>
      <c r="K48" s="180">
        <v>0</v>
      </c>
      <c r="L48" s="180"/>
      <c r="M48" s="180"/>
      <c r="N48" s="180"/>
      <c r="O48" s="180"/>
      <c r="P48" s="180"/>
      <c r="Q48" s="180"/>
      <c r="R48" s="180">
        <v>0</v>
      </c>
      <c r="S48" s="180"/>
      <c r="T48" s="180">
        <f t="shared" si="6"/>
        <v>0</v>
      </c>
    </row>
    <row r="49" spans="1:20" ht="15.4" x14ac:dyDescent="0.45">
      <c r="A49" s="170"/>
      <c r="B49" s="171">
        <v>6380</v>
      </c>
      <c r="C49" s="172" t="s">
        <v>135</v>
      </c>
      <c r="D49" s="172"/>
      <c r="E49" s="179">
        <v>514700</v>
      </c>
      <c r="F49" s="180">
        <v>317468</v>
      </c>
      <c r="G49" s="180"/>
      <c r="H49" s="181">
        <v>0</v>
      </c>
      <c r="I49" s="183"/>
      <c r="J49" s="179"/>
      <c r="K49" s="180">
        <v>0</v>
      </c>
      <c r="L49" s="180">
        <v>0</v>
      </c>
      <c r="M49" s="180">
        <v>0</v>
      </c>
      <c r="N49" s="180">
        <v>0</v>
      </c>
      <c r="O49" s="180"/>
      <c r="P49" s="180"/>
      <c r="Q49" s="180"/>
      <c r="R49" s="180"/>
      <c r="S49" s="180"/>
      <c r="T49" s="180">
        <f t="shared" si="6"/>
        <v>0</v>
      </c>
    </row>
    <row r="50" spans="1:20" ht="15.4" x14ac:dyDescent="0.45">
      <c r="A50" s="170"/>
      <c r="B50" s="171">
        <v>6390</v>
      </c>
      <c r="C50" s="199" t="s">
        <v>136</v>
      </c>
      <c r="D50" s="199"/>
      <c r="E50" s="179">
        <v>0</v>
      </c>
      <c r="F50" s="185">
        <v>43148</v>
      </c>
      <c r="G50" s="180"/>
      <c r="H50" s="181">
        <v>0</v>
      </c>
      <c r="I50" s="183"/>
      <c r="J50" s="186"/>
      <c r="K50" s="185"/>
      <c r="L50" s="185"/>
      <c r="M50" s="185"/>
      <c r="N50" s="185"/>
      <c r="O50" s="185"/>
      <c r="P50" s="185"/>
      <c r="Q50" s="185">
        <v>0</v>
      </c>
      <c r="R50" s="185"/>
      <c r="S50" s="185"/>
      <c r="T50" s="185">
        <f t="shared" si="6"/>
        <v>0</v>
      </c>
    </row>
    <row r="51" spans="1:20" ht="15.4" x14ac:dyDescent="0.45">
      <c r="A51" s="170"/>
      <c r="B51" s="171"/>
      <c r="C51" s="165" t="s">
        <v>137</v>
      </c>
      <c r="D51" s="165"/>
      <c r="E51" s="202">
        <f>SUM(E38:E50)</f>
        <v>912910</v>
      </c>
      <c r="F51" s="203">
        <f>SUM(F38:F50)</f>
        <v>640077</v>
      </c>
      <c r="G51" s="203"/>
      <c r="H51" s="204">
        <f>SUM(H38:H50)</f>
        <v>0</v>
      </c>
      <c r="I51" s="215"/>
      <c r="J51" s="206">
        <f>SUM(J38:J50)</f>
        <v>0</v>
      </c>
      <c r="K51" s="206">
        <f t="shared" ref="K51:S51" si="7">SUM(K38:K50)</f>
        <v>0</v>
      </c>
      <c r="L51" s="206">
        <f t="shared" si="7"/>
        <v>0</v>
      </c>
      <c r="M51" s="206">
        <f t="shared" si="7"/>
        <v>0</v>
      </c>
      <c r="N51" s="206">
        <f t="shared" si="7"/>
        <v>0</v>
      </c>
      <c r="O51" s="206">
        <f t="shared" si="7"/>
        <v>0</v>
      </c>
      <c r="P51" s="206">
        <f t="shared" si="7"/>
        <v>0</v>
      </c>
      <c r="Q51" s="206">
        <f t="shared" si="7"/>
        <v>0</v>
      </c>
      <c r="R51" s="206">
        <f t="shared" si="7"/>
        <v>0</v>
      </c>
      <c r="S51" s="206">
        <f t="shared" si="7"/>
        <v>0</v>
      </c>
      <c r="T51" s="203">
        <f t="shared" si="6"/>
        <v>0</v>
      </c>
    </row>
    <row r="52" spans="1:20" ht="15.4" x14ac:dyDescent="0.45">
      <c r="A52" s="216"/>
      <c r="B52" s="171"/>
      <c r="C52" s="172"/>
      <c r="D52" s="172"/>
      <c r="E52" s="195"/>
      <c r="F52" s="196"/>
      <c r="G52" s="196"/>
      <c r="H52" s="197"/>
      <c r="I52" s="195"/>
      <c r="J52" s="212"/>
      <c r="K52" s="52"/>
      <c r="L52" s="52"/>
      <c r="M52" s="52"/>
      <c r="N52" s="52"/>
      <c r="O52" s="52"/>
      <c r="P52" s="52"/>
      <c r="Q52" s="52"/>
      <c r="R52" s="52"/>
      <c r="S52" s="52"/>
      <c r="T52" s="198" t="s">
        <v>0</v>
      </c>
    </row>
    <row r="53" spans="1:20" ht="15.4" x14ac:dyDescent="0.45">
      <c r="A53" s="216"/>
      <c r="B53" s="171"/>
      <c r="C53" s="172"/>
      <c r="D53" s="172"/>
      <c r="E53" s="195"/>
      <c r="F53" s="196"/>
      <c r="G53" s="196"/>
      <c r="H53" s="197"/>
      <c r="I53" s="195"/>
      <c r="J53" s="212"/>
      <c r="K53" s="52"/>
      <c r="L53" s="52"/>
      <c r="M53" s="52"/>
      <c r="N53" s="52"/>
      <c r="O53" s="52"/>
      <c r="P53" s="52"/>
      <c r="Q53" s="52"/>
      <c r="R53" s="52"/>
      <c r="S53" s="52"/>
      <c r="T53" s="198" t="s">
        <v>0</v>
      </c>
    </row>
    <row r="54" spans="1:20" ht="15.4" x14ac:dyDescent="0.45">
      <c r="A54" s="216"/>
      <c r="B54" s="171">
        <v>6400</v>
      </c>
      <c r="C54" s="172" t="s">
        <v>138</v>
      </c>
      <c r="D54" s="172"/>
      <c r="E54" s="176">
        <v>900</v>
      </c>
      <c r="F54" s="177">
        <f>1477+122+8</f>
        <v>1607</v>
      </c>
      <c r="G54" s="177" t="s">
        <v>215</v>
      </c>
      <c r="H54" s="214">
        <v>0</v>
      </c>
      <c r="I54" s="183"/>
      <c r="J54" s="176">
        <v>0</v>
      </c>
      <c r="K54" s="52"/>
      <c r="L54" s="52"/>
      <c r="M54" s="52"/>
      <c r="N54" s="52"/>
      <c r="O54" s="177"/>
      <c r="P54" s="177">
        <f>H54*10%</f>
        <v>0</v>
      </c>
      <c r="Q54" s="177"/>
      <c r="R54" s="177">
        <f>10%*H54</f>
        <v>0</v>
      </c>
      <c r="S54" s="177"/>
      <c r="T54" s="177">
        <f t="shared" ref="T54:T61" si="8">SUM(J54:R54)</f>
        <v>0</v>
      </c>
    </row>
    <row r="55" spans="1:20" ht="15.4" x14ac:dyDescent="0.45">
      <c r="A55" s="216"/>
      <c r="B55" s="171">
        <v>6410</v>
      </c>
      <c r="C55" s="172" t="s">
        <v>139</v>
      </c>
      <c r="D55" s="172"/>
      <c r="E55" s="179">
        <v>900</v>
      </c>
      <c r="F55" s="180">
        <v>88</v>
      </c>
      <c r="G55" s="180"/>
      <c r="H55" s="181">
        <v>0</v>
      </c>
      <c r="I55" s="183"/>
      <c r="J55" s="179">
        <v>0</v>
      </c>
      <c r="K55" s="184"/>
      <c r="L55" s="184"/>
      <c r="M55" s="184"/>
      <c r="N55" s="184"/>
      <c r="O55" s="180"/>
      <c r="P55" s="180">
        <v>0</v>
      </c>
      <c r="Q55" s="180"/>
      <c r="R55" s="180">
        <v>0</v>
      </c>
      <c r="S55" s="180"/>
      <c r="T55" s="180">
        <f t="shared" si="8"/>
        <v>0</v>
      </c>
    </row>
    <row r="56" spans="1:20" ht="30.4" x14ac:dyDescent="0.45">
      <c r="A56" s="216"/>
      <c r="B56" s="171">
        <v>6415</v>
      </c>
      <c r="C56" s="199" t="s">
        <v>140</v>
      </c>
      <c r="D56" s="199"/>
      <c r="E56" s="179">
        <v>5070</v>
      </c>
      <c r="F56" s="180">
        <f>5526+60</f>
        <v>5586</v>
      </c>
      <c r="G56" s="290" t="s">
        <v>216</v>
      </c>
      <c r="H56" s="181">
        <v>0</v>
      </c>
      <c r="I56" s="183"/>
      <c r="J56" s="179">
        <v>0</v>
      </c>
      <c r="K56" s="184"/>
      <c r="L56" s="184"/>
      <c r="M56" s="184" t="s">
        <v>0</v>
      </c>
      <c r="N56" s="184"/>
      <c r="O56" s="180" t="s">
        <v>0</v>
      </c>
      <c r="P56" s="180">
        <v>0</v>
      </c>
      <c r="Q56" s="180"/>
      <c r="R56" s="180">
        <v>0</v>
      </c>
      <c r="S56" s="180"/>
      <c r="T56" s="180">
        <f t="shared" si="8"/>
        <v>0</v>
      </c>
    </row>
    <row r="57" spans="1:20" ht="15.4" x14ac:dyDescent="0.45">
      <c r="A57" s="170"/>
      <c r="B57" s="171">
        <v>6420</v>
      </c>
      <c r="C57" s="172" t="s">
        <v>141</v>
      </c>
      <c r="D57" s="172"/>
      <c r="E57" s="179">
        <v>1000</v>
      </c>
      <c r="F57" s="180">
        <v>119</v>
      </c>
      <c r="G57" s="180"/>
      <c r="H57" s="181">
        <v>0</v>
      </c>
      <c r="I57" s="183"/>
      <c r="J57" s="179">
        <v>0</v>
      </c>
      <c r="K57" s="184"/>
      <c r="L57" s="184"/>
      <c r="M57" s="184"/>
      <c r="N57" s="184"/>
      <c r="O57" s="180"/>
      <c r="P57" s="180"/>
      <c r="Q57" s="180"/>
      <c r="R57" s="180"/>
      <c r="S57" s="180"/>
      <c r="T57" s="180">
        <f t="shared" si="8"/>
        <v>0</v>
      </c>
    </row>
    <row r="58" spans="1:20" ht="15.4" x14ac:dyDescent="0.45">
      <c r="A58" s="170"/>
      <c r="B58" s="171">
        <v>6425</v>
      </c>
      <c r="C58" s="172" t="s">
        <v>142</v>
      </c>
      <c r="D58" s="172"/>
      <c r="E58" s="179">
        <v>2200</v>
      </c>
      <c r="F58" s="180">
        <v>2700</v>
      </c>
      <c r="G58" s="180" t="s">
        <v>217</v>
      </c>
      <c r="H58" s="181">
        <v>0</v>
      </c>
      <c r="I58" s="183"/>
      <c r="J58" s="179">
        <v>0</v>
      </c>
      <c r="K58" s="184"/>
      <c r="L58" s="184"/>
      <c r="M58" s="184"/>
      <c r="N58" s="184"/>
      <c r="O58" s="180"/>
      <c r="P58" s="180"/>
      <c r="Q58" s="180"/>
      <c r="R58" s="180"/>
      <c r="S58" s="180"/>
      <c r="T58" s="180">
        <f t="shared" si="8"/>
        <v>0</v>
      </c>
    </row>
    <row r="59" spans="1:20" ht="15.4" x14ac:dyDescent="0.45">
      <c r="A59" s="170"/>
      <c r="B59" s="171">
        <v>6430</v>
      </c>
      <c r="C59" s="172" t="s">
        <v>143</v>
      </c>
      <c r="D59" s="172"/>
      <c r="E59" s="179">
        <v>9000</v>
      </c>
      <c r="F59" s="180">
        <v>750</v>
      </c>
      <c r="G59" s="180" t="s">
        <v>218</v>
      </c>
      <c r="H59" s="181">
        <v>0</v>
      </c>
      <c r="I59" s="183"/>
      <c r="J59" s="179">
        <v>0</v>
      </c>
      <c r="K59" s="184"/>
      <c r="L59" s="184"/>
      <c r="M59" s="184"/>
      <c r="N59" s="184"/>
      <c r="O59" s="180"/>
      <c r="P59" s="180">
        <v>0</v>
      </c>
      <c r="Q59" s="180"/>
      <c r="R59" s="180">
        <f>15%*H59</f>
        <v>0</v>
      </c>
      <c r="S59" s="180"/>
      <c r="T59" s="180">
        <f t="shared" si="8"/>
        <v>0</v>
      </c>
    </row>
    <row r="60" spans="1:20" ht="15.4" x14ac:dyDescent="0.45">
      <c r="A60" s="170"/>
      <c r="B60" s="171">
        <v>6435</v>
      </c>
      <c r="C60" s="172" t="s">
        <v>144</v>
      </c>
      <c r="D60" s="172"/>
      <c r="E60" s="179">
        <v>300000</v>
      </c>
      <c r="F60" s="180">
        <v>57479</v>
      </c>
      <c r="G60" s="180"/>
      <c r="H60" s="181">
        <v>0</v>
      </c>
      <c r="I60" s="183"/>
      <c r="J60" s="179">
        <v>0</v>
      </c>
      <c r="K60" s="184"/>
      <c r="L60" s="184"/>
      <c r="M60" s="184"/>
      <c r="N60" s="184"/>
      <c r="O60" s="180"/>
      <c r="P60" s="180"/>
      <c r="Q60" s="180"/>
      <c r="R60" s="180">
        <v>0</v>
      </c>
      <c r="S60" s="180"/>
      <c r="T60" s="180">
        <f t="shared" si="8"/>
        <v>0</v>
      </c>
    </row>
    <row r="61" spans="1:20" ht="15.4" x14ac:dyDescent="0.45">
      <c r="A61" s="170"/>
      <c r="B61" s="171">
        <v>6440</v>
      </c>
      <c r="C61" s="172" t="s">
        <v>145</v>
      </c>
      <c r="D61" s="172"/>
      <c r="E61" s="179">
        <v>74000</v>
      </c>
      <c r="F61" s="185">
        <v>18127</v>
      </c>
      <c r="G61" s="180" t="s">
        <v>219</v>
      </c>
      <c r="H61" s="181">
        <v>0</v>
      </c>
      <c r="I61" s="183"/>
      <c r="J61" s="186">
        <v>0</v>
      </c>
      <c r="K61" s="187"/>
      <c r="L61" s="187"/>
      <c r="M61" s="187"/>
      <c r="N61" s="187"/>
      <c r="O61" s="185"/>
      <c r="P61" s="185"/>
      <c r="Q61" s="185"/>
      <c r="R61" s="185">
        <v>0</v>
      </c>
      <c r="S61" s="185"/>
      <c r="T61" s="185">
        <f t="shared" si="8"/>
        <v>0</v>
      </c>
    </row>
    <row r="62" spans="1:20" ht="15.4" x14ac:dyDescent="0.45">
      <c r="A62" s="170"/>
      <c r="B62" s="171"/>
      <c r="C62" s="165" t="s">
        <v>146</v>
      </c>
      <c r="D62" s="165"/>
      <c r="E62" s="206">
        <f t="shared" ref="E62:H62" si="9">SUM(E54:E61)</f>
        <v>393070</v>
      </c>
      <c r="F62" s="217">
        <f>SUM(F54:F61)</f>
        <v>86456</v>
      </c>
      <c r="G62" s="217" t="s">
        <v>220</v>
      </c>
      <c r="H62" s="218">
        <f t="shared" si="9"/>
        <v>0</v>
      </c>
      <c r="I62" s="215"/>
      <c r="J62" s="206">
        <f>SUM(J53:J61)</f>
        <v>0</v>
      </c>
      <c r="K62" s="206">
        <f t="shared" ref="K62:S62" si="10">SUM(K53:K61)</f>
        <v>0</v>
      </c>
      <c r="L62" s="206">
        <f t="shared" si="10"/>
        <v>0</v>
      </c>
      <c r="M62" s="206">
        <f t="shared" si="10"/>
        <v>0</v>
      </c>
      <c r="N62" s="206">
        <f t="shared" si="10"/>
        <v>0</v>
      </c>
      <c r="O62" s="206">
        <f t="shared" si="10"/>
        <v>0</v>
      </c>
      <c r="P62" s="206">
        <f t="shared" si="10"/>
        <v>0</v>
      </c>
      <c r="Q62" s="206">
        <f t="shared" si="10"/>
        <v>0</v>
      </c>
      <c r="R62" s="206">
        <f t="shared" si="10"/>
        <v>0</v>
      </c>
      <c r="S62" s="206">
        <f t="shared" si="10"/>
        <v>0</v>
      </c>
      <c r="T62" s="206">
        <f>SUM(T54:T61)</f>
        <v>0</v>
      </c>
    </row>
    <row r="63" spans="1:20" ht="15.4" x14ac:dyDescent="0.45">
      <c r="A63" s="170"/>
      <c r="B63" s="171"/>
      <c r="C63" s="172"/>
      <c r="D63" s="172"/>
      <c r="E63" s="195"/>
      <c r="F63" s="196"/>
      <c r="G63" s="196"/>
      <c r="H63" s="197"/>
      <c r="I63" s="195"/>
      <c r="J63" s="212"/>
      <c r="K63" s="52"/>
      <c r="L63" s="52"/>
      <c r="M63" s="52"/>
      <c r="N63" s="52"/>
      <c r="O63" s="52"/>
      <c r="P63" s="52"/>
      <c r="Q63" s="52"/>
      <c r="R63" s="52"/>
      <c r="S63" s="52"/>
      <c r="T63" s="198" t="s">
        <v>0</v>
      </c>
    </row>
    <row r="64" spans="1:20" ht="15.4" x14ac:dyDescent="0.45">
      <c r="A64" s="170"/>
      <c r="B64" s="171"/>
      <c r="C64" s="172"/>
      <c r="D64" s="172"/>
      <c r="E64" s="195"/>
      <c r="F64" s="196"/>
      <c r="G64" s="196"/>
      <c r="H64" s="197"/>
      <c r="I64" s="195"/>
      <c r="J64" s="212"/>
      <c r="K64" s="52"/>
      <c r="L64" s="52"/>
      <c r="M64" s="52"/>
      <c r="N64" s="52"/>
      <c r="O64" s="52"/>
      <c r="P64" s="52"/>
      <c r="Q64" s="52"/>
      <c r="R64" s="52"/>
      <c r="S64" s="52"/>
      <c r="T64" s="198" t="s">
        <v>0</v>
      </c>
    </row>
    <row r="65" spans="1:20" ht="15.4" x14ac:dyDescent="0.45">
      <c r="A65" s="170"/>
      <c r="B65" s="171">
        <v>6455</v>
      </c>
      <c r="C65" s="172" t="s">
        <v>147</v>
      </c>
      <c r="D65" s="172"/>
      <c r="E65" s="176">
        <v>0</v>
      </c>
      <c r="F65" s="177">
        <v>0</v>
      </c>
      <c r="G65" s="177"/>
      <c r="H65" s="214">
        <v>0</v>
      </c>
      <c r="I65" s="183"/>
      <c r="J65" s="176"/>
      <c r="K65" s="52"/>
      <c r="L65" s="52"/>
      <c r="M65" s="52"/>
      <c r="N65" s="52"/>
      <c r="O65" s="52"/>
      <c r="P65" s="52"/>
      <c r="Q65" s="52"/>
      <c r="R65" s="52"/>
      <c r="S65" s="52"/>
      <c r="T65" s="177">
        <f t="shared" ref="T65:T70" si="11">SUM(J65:R65)</f>
        <v>0</v>
      </c>
    </row>
    <row r="66" spans="1:20" ht="15.4" x14ac:dyDescent="0.45">
      <c r="A66" s="170"/>
      <c r="B66" s="171">
        <v>6460</v>
      </c>
      <c r="C66" s="172" t="s">
        <v>148</v>
      </c>
      <c r="D66" s="172"/>
      <c r="E66" s="179">
        <v>0</v>
      </c>
      <c r="F66" s="180">
        <v>200</v>
      </c>
      <c r="G66" s="180"/>
      <c r="H66" s="181">
        <v>0</v>
      </c>
      <c r="I66" s="183"/>
      <c r="J66" s="179"/>
      <c r="K66" s="180"/>
      <c r="L66" s="180"/>
      <c r="M66" s="180"/>
      <c r="N66" s="180"/>
      <c r="O66" s="180"/>
      <c r="P66" s="180"/>
      <c r="Q66" s="180"/>
      <c r="R66" s="180"/>
      <c r="S66" s="180"/>
      <c r="T66" s="180">
        <f t="shared" si="11"/>
        <v>0</v>
      </c>
    </row>
    <row r="67" spans="1:20" ht="15.4" x14ac:dyDescent="0.45">
      <c r="A67" s="170"/>
      <c r="B67" s="171">
        <v>6470</v>
      </c>
      <c r="C67" s="172" t="s">
        <v>149</v>
      </c>
      <c r="D67" s="172"/>
      <c r="E67" s="179">
        <v>3200</v>
      </c>
      <c r="F67" s="180">
        <v>3406</v>
      </c>
      <c r="G67" s="180"/>
      <c r="H67" s="181">
        <v>0</v>
      </c>
      <c r="I67" s="183"/>
      <c r="J67" s="179">
        <v>0</v>
      </c>
      <c r="K67" s="180"/>
      <c r="L67" s="180"/>
      <c r="M67" s="180"/>
      <c r="N67" s="180"/>
      <c r="O67" s="180"/>
      <c r="P67" s="180"/>
      <c r="Q67" s="180"/>
      <c r="R67" s="180"/>
      <c r="S67" s="180"/>
      <c r="T67" s="180">
        <f t="shared" si="11"/>
        <v>0</v>
      </c>
    </row>
    <row r="68" spans="1:20" ht="15.4" x14ac:dyDescent="0.45">
      <c r="A68" s="170"/>
      <c r="B68" s="171">
        <v>6500</v>
      </c>
      <c r="C68" s="172" t="s">
        <v>150</v>
      </c>
      <c r="D68" s="172"/>
      <c r="E68" s="179">
        <v>18000</v>
      </c>
      <c r="F68" s="180">
        <v>10500</v>
      </c>
      <c r="G68" s="180" t="s">
        <v>221</v>
      </c>
      <c r="H68" s="181">
        <v>0</v>
      </c>
      <c r="I68" s="183"/>
      <c r="J68" s="179">
        <v>0</v>
      </c>
      <c r="K68" s="180"/>
      <c r="L68" s="180"/>
      <c r="M68" s="180"/>
      <c r="N68" s="180"/>
      <c r="O68" s="180"/>
      <c r="P68" s="180"/>
      <c r="Q68" s="180"/>
      <c r="R68" s="180"/>
      <c r="S68" s="180"/>
      <c r="T68" s="180">
        <f t="shared" si="11"/>
        <v>0</v>
      </c>
    </row>
    <row r="69" spans="1:20" ht="15.4" x14ac:dyDescent="0.45">
      <c r="A69" s="170"/>
      <c r="B69" s="171">
        <v>6510</v>
      </c>
      <c r="C69" s="172" t="s">
        <v>151</v>
      </c>
      <c r="D69" s="172"/>
      <c r="E69" s="179">
        <v>6744</v>
      </c>
      <c r="F69" s="180">
        <v>2049</v>
      </c>
      <c r="G69" s="180" t="s">
        <v>222</v>
      </c>
      <c r="H69" s="181">
        <v>0</v>
      </c>
      <c r="I69" s="183"/>
      <c r="J69" s="179" t="s">
        <v>0</v>
      </c>
      <c r="K69" s="180"/>
      <c r="L69" s="180"/>
      <c r="M69" s="180"/>
      <c r="N69" s="180"/>
      <c r="O69" s="180" t="s">
        <v>0</v>
      </c>
      <c r="P69" s="180">
        <v>0</v>
      </c>
      <c r="Q69" s="180"/>
      <c r="R69" s="180">
        <v>0</v>
      </c>
      <c r="S69" s="180"/>
      <c r="T69" s="180">
        <f t="shared" si="11"/>
        <v>0</v>
      </c>
    </row>
    <row r="70" spans="1:20" ht="15.4" x14ac:dyDescent="0.45">
      <c r="A70" s="170"/>
      <c r="B70" s="171">
        <v>6890</v>
      </c>
      <c r="C70" s="172" t="s">
        <v>152</v>
      </c>
      <c r="D70" s="172"/>
      <c r="E70" s="179">
        <v>0</v>
      </c>
      <c r="F70" s="185">
        <v>0</v>
      </c>
      <c r="G70" s="180"/>
      <c r="H70" s="181">
        <v>0</v>
      </c>
      <c r="I70" s="183"/>
      <c r="J70" s="186"/>
      <c r="K70" s="185"/>
      <c r="L70" s="185"/>
      <c r="M70" s="185"/>
      <c r="N70" s="185"/>
      <c r="O70" s="185"/>
      <c r="P70" s="185"/>
      <c r="Q70" s="185"/>
      <c r="R70" s="185"/>
      <c r="S70" s="185"/>
      <c r="T70" s="185">
        <f t="shared" si="11"/>
        <v>0</v>
      </c>
    </row>
    <row r="71" spans="1:20" ht="15.4" x14ac:dyDescent="0.45">
      <c r="A71" s="170"/>
      <c r="B71" s="171"/>
      <c r="C71" s="165" t="s">
        <v>153</v>
      </c>
      <c r="D71" s="165"/>
      <c r="E71" s="206">
        <f t="shared" ref="E71:H71" si="12">SUM(E65:E70)</f>
        <v>27944</v>
      </c>
      <c r="F71" s="217">
        <f>SUM(F65:F70)</f>
        <v>16155</v>
      </c>
      <c r="G71" s="217"/>
      <c r="H71" s="218">
        <f t="shared" si="12"/>
        <v>0</v>
      </c>
      <c r="I71" s="215"/>
      <c r="J71" s="206">
        <f>SUM(J65:J70)</f>
        <v>0</v>
      </c>
      <c r="K71" s="206">
        <f t="shared" ref="K71:T71" si="13">SUM(K65:K70)</f>
        <v>0</v>
      </c>
      <c r="L71" s="206">
        <f t="shared" si="13"/>
        <v>0</v>
      </c>
      <c r="M71" s="206">
        <f t="shared" si="13"/>
        <v>0</v>
      </c>
      <c r="N71" s="206">
        <f t="shared" si="13"/>
        <v>0</v>
      </c>
      <c r="O71" s="206">
        <f t="shared" si="13"/>
        <v>0</v>
      </c>
      <c r="P71" s="206">
        <f t="shared" si="13"/>
        <v>0</v>
      </c>
      <c r="Q71" s="206">
        <f t="shared" si="13"/>
        <v>0</v>
      </c>
      <c r="R71" s="206">
        <f t="shared" si="13"/>
        <v>0</v>
      </c>
      <c r="S71" s="206">
        <f t="shared" si="13"/>
        <v>0</v>
      </c>
      <c r="T71" s="206">
        <f t="shared" si="13"/>
        <v>0</v>
      </c>
    </row>
    <row r="72" spans="1:20" ht="15.4" x14ac:dyDescent="0.45">
      <c r="A72" s="170"/>
      <c r="B72" s="171"/>
      <c r="C72" s="208"/>
      <c r="D72" s="208"/>
      <c r="E72" s="195"/>
      <c r="F72" s="196"/>
      <c r="G72" s="196"/>
      <c r="H72" s="197"/>
      <c r="I72" s="195"/>
      <c r="J72" s="212"/>
      <c r="K72" s="52"/>
      <c r="L72" s="52"/>
      <c r="M72" s="52"/>
      <c r="N72" s="52"/>
      <c r="O72" s="52"/>
      <c r="P72" s="52"/>
      <c r="Q72" s="52"/>
      <c r="R72" s="52"/>
      <c r="S72" s="52"/>
      <c r="T72" s="198" t="s">
        <v>0</v>
      </c>
    </row>
    <row r="73" spans="1:20" ht="15.4" x14ac:dyDescent="0.45">
      <c r="A73" s="170"/>
      <c r="B73" s="171"/>
      <c r="C73" s="208"/>
      <c r="D73" s="208"/>
      <c r="E73" s="195"/>
      <c r="F73" s="196"/>
      <c r="G73" s="196"/>
      <c r="H73" s="197"/>
      <c r="I73" s="195"/>
      <c r="J73" s="212"/>
      <c r="K73" s="52"/>
      <c r="L73" s="52"/>
      <c r="M73" s="52"/>
      <c r="N73" s="52"/>
      <c r="O73" s="52"/>
      <c r="P73" s="52"/>
      <c r="Q73" s="52"/>
      <c r="R73" s="52"/>
      <c r="S73" s="52"/>
      <c r="T73" s="198" t="s">
        <v>0</v>
      </c>
    </row>
    <row r="74" spans="1:20" ht="15.4" x14ac:dyDescent="0.45">
      <c r="A74" s="170"/>
      <c r="B74" s="171">
        <v>6600</v>
      </c>
      <c r="C74" s="172" t="s">
        <v>154</v>
      </c>
      <c r="D74" s="172"/>
      <c r="E74" s="173">
        <v>2000</v>
      </c>
      <c r="F74" s="174">
        <f>51+50</f>
        <v>101</v>
      </c>
      <c r="G74" s="174"/>
      <c r="H74" s="175">
        <v>0</v>
      </c>
      <c r="I74" s="183"/>
      <c r="J74" s="176"/>
      <c r="K74" s="52"/>
      <c r="L74" s="52"/>
      <c r="M74" s="52"/>
      <c r="N74" s="52"/>
      <c r="O74" s="177"/>
      <c r="P74" s="177">
        <v>0</v>
      </c>
      <c r="Q74" s="177"/>
      <c r="R74" s="177">
        <v>0</v>
      </c>
      <c r="S74" s="177"/>
      <c r="T74" s="177">
        <f t="shared" ref="T74:T82" si="14">SUM(J74:R74)</f>
        <v>0</v>
      </c>
    </row>
    <row r="75" spans="1:20" ht="15.4" x14ac:dyDescent="0.45">
      <c r="A75" s="170"/>
      <c r="B75" s="171">
        <v>6605</v>
      </c>
      <c r="C75" s="199" t="s">
        <v>155</v>
      </c>
      <c r="D75" s="199"/>
      <c r="E75" s="183">
        <v>0</v>
      </c>
      <c r="F75" s="182">
        <v>66</v>
      </c>
      <c r="G75" s="182" t="s">
        <v>223</v>
      </c>
      <c r="H75" s="219">
        <v>0</v>
      </c>
      <c r="I75" s="183"/>
      <c r="J75" s="179"/>
      <c r="K75" s="184"/>
      <c r="L75" s="184"/>
      <c r="M75" s="184"/>
      <c r="N75" s="184"/>
      <c r="O75" s="180"/>
      <c r="P75" s="180"/>
      <c r="Q75" s="180"/>
      <c r="R75" s="180"/>
      <c r="S75" s="180"/>
      <c r="T75" s="180">
        <f t="shared" si="14"/>
        <v>0</v>
      </c>
    </row>
    <row r="76" spans="1:20" ht="15.4" x14ac:dyDescent="0.45">
      <c r="A76" s="170"/>
      <c r="B76" s="171">
        <v>6610</v>
      </c>
      <c r="C76" s="172" t="s">
        <v>156</v>
      </c>
      <c r="D76" s="172"/>
      <c r="E76" s="183">
        <v>7000</v>
      </c>
      <c r="F76" s="182">
        <v>1052</v>
      </c>
      <c r="G76" s="182" t="s">
        <v>224</v>
      </c>
      <c r="H76" s="219">
        <v>0</v>
      </c>
      <c r="I76" s="183"/>
      <c r="J76" s="179"/>
      <c r="K76" s="184"/>
      <c r="L76" s="184"/>
      <c r="M76" s="184"/>
      <c r="N76" s="184"/>
      <c r="O76" s="180"/>
      <c r="P76" s="180">
        <v>0</v>
      </c>
      <c r="Q76" s="180">
        <v>0</v>
      </c>
      <c r="R76" s="180">
        <v>0</v>
      </c>
      <c r="S76" s="180"/>
      <c r="T76" s="180">
        <f t="shared" si="14"/>
        <v>0</v>
      </c>
    </row>
    <row r="77" spans="1:20" ht="15.4" x14ac:dyDescent="0.45">
      <c r="A77" s="170"/>
      <c r="B77" s="171">
        <v>6615</v>
      </c>
      <c r="C77" s="172" t="s">
        <v>157</v>
      </c>
      <c r="D77" s="172"/>
      <c r="E77" s="183">
        <v>200</v>
      </c>
      <c r="F77" s="182"/>
      <c r="G77" s="182">
        <v>200</v>
      </c>
      <c r="H77" s="219">
        <v>0</v>
      </c>
      <c r="I77" s="183"/>
      <c r="J77" s="179">
        <v>0</v>
      </c>
      <c r="K77" s="184"/>
      <c r="L77" s="184"/>
      <c r="M77" s="184"/>
      <c r="N77" s="184"/>
      <c r="O77" s="180"/>
      <c r="P77" s="180"/>
      <c r="Q77" s="180"/>
      <c r="R77" s="180"/>
      <c r="S77" s="180"/>
      <c r="T77" s="180">
        <f t="shared" si="14"/>
        <v>0</v>
      </c>
    </row>
    <row r="78" spans="1:20" ht="15.4" x14ac:dyDescent="0.45">
      <c r="A78" s="170"/>
      <c r="B78" s="171">
        <v>6620</v>
      </c>
      <c r="C78" s="199" t="s">
        <v>158</v>
      </c>
      <c r="D78" s="199"/>
      <c r="E78" s="183">
        <v>200</v>
      </c>
      <c r="F78" s="182">
        <v>0</v>
      </c>
      <c r="G78" s="182">
        <v>200</v>
      </c>
      <c r="H78" s="219">
        <v>0</v>
      </c>
      <c r="I78" s="183"/>
      <c r="J78" s="179"/>
      <c r="K78" s="184"/>
      <c r="L78" s="184"/>
      <c r="M78" s="184"/>
      <c r="N78" s="184"/>
      <c r="O78" s="180"/>
      <c r="P78" s="180">
        <v>0</v>
      </c>
      <c r="Q78" s="180"/>
      <c r="R78" s="180">
        <v>0</v>
      </c>
      <c r="S78" s="180"/>
      <c r="T78" s="180">
        <f t="shared" si="14"/>
        <v>0</v>
      </c>
    </row>
    <row r="79" spans="1:20" ht="15.4" x14ac:dyDescent="0.45">
      <c r="A79" s="170"/>
      <c r="B79" s="171">
        <v>6625</v>
      </c>
      <c r="C79" s="172" t="s">
        <v>159</v>
      </c>
      <c r="D79" s="172"/>
      <c r="E79" s="183">
        <v>2000</v>
      </c>
      <c r="F79" s="182">
        <v>118</v>
      </c>
      <c r="G79" s="182">
        <v>2000</v>
      </c>
      <c r="H79" s="219">
        <v>0</v>
      </c>
      <c r="I79" s="183"/>
      <c r="J79" s="179"/>
      <c r="K79" s="184"/>
      <c r="L79" s="184"/>
      <c r="M79" s="184"/>
      <c r="N79" s="184"/>
      <c r="O79" s="180"/>
      <c r="P79" s="180">
        <v>0</v>
      </c>
      <c r="Q79" s="180"/>
      <c r="R79" s="180">
        <v>0</v>
      </c>
      <c r="S79" s="180"/>
      <c r="T79" s="180">
        <f t="shared" si="14"/>
        <v>0</v>
      </c>
    </row>
    <row r="80" spans="1:20" ht="15.4" x14ac:dyDescent="0.45">
      <c r="A80" s="170"/>
      <c r="B80" s="171">
        <v>6630</v>
      </c>
      <c r="C80" s="172" t="s">
        <v>160</v>
      </c>
      <c r="D80" s="172"/>
      <c r="E80" s="183">
        <v>250</v>
      </c>
      <c r="F80" s="182">
        <v>0</v>
      </c>
      <c r="G80" s="182">
        <v>250</v>
      </c>
      <c r="H80" s="219">
        <v>0</v>
      </c>
      <c r="I80" s="183"/>
      <c r="J80" s="179">
        <v>0</v>
      </c>
      <c r="K80" s="184"/>
      <c r="L80" s="184"/>
      <c r="M80" s="184"/>
      <c r="N80" s="184"/>
      <c r="O80" s="180"/>
      <c r="P80" s="180"/>
      <c r="Q80" s="180"/>
      <c r="R80" s="180"/>
      <c r="S80" s="180"/>
      <c r="T80" s="180">
        <f t="shared" si="14"/>
        <v>0</v>
      </c>
    </row>
    <row r="81" spans="1:22" ht="15.4" x14ac:dyDescent="0.45">
      <c r="A81" s="170"/>
      <c r="B81" s="171">
        <v>6635</v>
      </c>
      <c r="C81" s="199" t="s">
        <v>161</v>
      </c>
      <c r="D81" s="199"/>
      <c r="E81" s="183">
        <v>500</v>
      </c>
      <c r="F81" s="182">
        <v>0</v>
      </c>
      <c r="G81" s="182" t="s">
        <v>225</v>
      </c>
      <c r="H81" s="219">
        <v>0</v>
      </c>
      <c r="I81" s="183"/>
      <c r="J81" s="179"/>
      <c r="K81" s="184"/>
      <c r="L81" s="184"/>
      <c r="M81" s="184"/>
      <c r="N81" s="184"/>
      <c r="O81" s="180"/>
      <c r="P81" s="180">
        <v>0</v>
      </c>
      <c r="Q81" s="180"/>
      <c r="R81" s="180">
        <v>0</v>
      </c>
      <c r="S81" s="180"/>
      <c r="T81" s="180">
        <f t="shared" si="14"/>
        <v>0</v>
      </c>
    </row>
    <row r="82" spans="1:22" ht="15.4" x14ac:dyDescent="0.45">
      <c r="A82" s="170"/>
      <c r="B82" s="171">
        <v>6640</v>
      </c>
      <c r="C82" s="172" t="s">
        <v>162</v>
      </c>
      <c r="D82" s="172"/>
      <c r="E82" s="183">
        <v>500</v>
      </c>
      <c r="F82" s="188">
        <v>550</v>
      </c>
      <c r="G82" s="182">
        <v>5000</v>
      </c>
      <c r="H82" s="219">
        <v>0</v>
      </c>
      <c r="I82" s="183"/>
      <c r="J82" s="186"/>
      <c r="K82" s="187"/>
      <c r="L82" s="187"/>
      <c r="M82" s="187"/>
      <c r="N82" s="187"/>
      <c r="O82" s="185"/>
      <c r="P82" s="185"/>
      <c r="Q82" s="185"/>
      <c r="R82" s="185">
        <v>0</v>
      </c>
      <c r="S82" s="185"/>
      <c r="T82" s="185">
        <f t="shared" si="14"/>
        <v>0</v>
      </c>
    </row>
    <row r="83" spans="1:22" ht="15.4" x14ac:dyDescent="0.45">
      <c r="A83" s="170"/>
      <c r="B83" s="171"/>
      <c r="C83" s="165" t="s">
        <v>163</v>
      </c>
      <c r="D83" s="165"/>
      <c r="E83" s="202">
        <f t="shared" ref="E83:H83" si="15">SUM(E74:E82)</f>
        <v>12650</v>
      </c>
      <c r="F83" s="203">
        <f>SUM(F74:F82)</f>
        <v>1887</v>
      </c>
      <c r="G83" s="203"/>
      <c r="H83" s="204">
        <f t="shared" si="15"/>
        <v>0</v>
      </c>
      <c r="I83" s="215"/>
      <c r="J83" s="206">
        <f>SUM(J74:J82)</f>
        <v>0</v>
      </c>
      <c r="K83" s="206">
        <f t="shared" ref="K83:T83" si="16">SUM(K74:K82)</f>
        <v>0</v>
      </c>
      <c r="L83" s="206">
        <f t="shared" si="16"/>
        <v>0</v>
      </c>
      <c r="M83" s="206">
        <f t="shared" si="16"/>
        <v>0</v>
      </c>
      <c r="N83" s="206">
        <f t="shared" si="16"/>
        <v>0</v>
      </c>
      <c r="O83" s="206">
        <f t="shared" si="16"/>
        <v>0</v>
      </c>
      <c r="P83" s="206">
        <f t="shared" si="16"/>
        <v>0</v>
      </c>
      <c r="Q83" s="206">
        <f t="shared" si="16"/>
        <v>0</v>
      </c>
      <c r="R83" s="206">
        <f t="shared" si="16"/>
        <v>0</v>
      </c>
      <c r="S83" s="206">
        <f t="shared" si="16"/>
        <v>0</v>
      </c>
      <c r="T83" s="206">
        <f t="shared" si="16"/>
        <v>0</v>
      </c>
    </row>
    <row r="84" spans="1:22" ht="15.4" x14ac:dyDescent="0.45">
      <c r="A84" s="170"/>
      <c r="B84" s="171"/>
      <c r="C84" s="172"/>
      <c r="D84" s="172"/>
      <c r="E84" s="195"/>
      <c r="F84" s="196"/>
      <c r="G84" s="196"/>
      <c r="H84" s="197"/>
      <c r="I84" s="195"/>
      <c r="J84" s="212"/>
      <c r="K84" s="52"/>
      <c r="L84" s="52"/>
      <c r="M84" s="52"/>
      <c r="N84" s="52"/>
      <c r="O84" s="52"/>
      <c r="P84" s="52"/>
      <c r="Q84" s="52"/>
      <c r="R84" s="52"/>
      <c r="S84" s="52"/>
      <c r="T84" s="198" t="s">
        <v>0</v>
      </c>
    </row>
    <row r="85" spans="1:22" ht="15.4" x14ac:dyDescent="0.45">
      <c r="A85" s="170"/>
      <c r="B85" s="171"/>
      <c r="C85" s="172"/>
      <c r="D85" s="172"/>
      <c r="E85" s="195"/>
      <c r="F85" s="196"/>
      <c r="G85" s="196"/>
      <c r="H85" s="197"/>
      <c r="I85" s="195"/>
      <c r="J85" s="212"/>
      <c r="K85" s="52"/>
      <c r="L85" s="52"/>
      <c r="M85" s="52"/>
      <c r="N85" s="52"/>
      <c r="O85" s="52"/>
      <c r="P85" s="52"/>
      <c r="Q85" s="52"/>
      <c r="R85" s="52"/>
      <c r="S85" s="52"/>
      <c r="T85" s="198" t="s">
        <v>0</v>
      </c>
    </row>
    <row r="86" spans="1:22" ht="45.4" x14ac:dyDescent="0.45">
      <c r="A86" s="170"/>
      <c r="B86" s="171">
        <v>6800</v>
      </c>
      <c r="C86" s="172" t="s">
        <v>164</v>
      </c>
      <c r="D86" s="172"/>
      <c r="E86" s="176">
        <v>2275</v>
      </c>
      <c r="F86" s="177">
        <v>422</v>
      </c>
      <c r="G86" s="291" t="s">
        <v>226</v>
      </c>
      <c r="H86" s="214">
        <v>0</v>
      </c>
      <c r="I86" s="183"/>
      <c r="J86" s="176">
        <v>0</v>
      </c>
      <c r="K86" s="177"/>
      <c r="L86" s="177"/>
      <c r="M86" s="177"/>
      <c r="N86" s="177"/>
      <c r="O86" s="177"/>
      <c r="P86" s="177">
        <v>0</v>
      </c>
      <c r="Q86" s="177"/>
      <c r="R86" s="177">
        <v>0</v>
      </c>
      <c r="S86" s="177"/>
      <c r="T86" s="177">
        <f>SUM(J86:R86)</f>
        <v>0</v>
      </c>
    </row>
    <row r="87" spans="1:22" ht="15.4" x14ac:dyDescent="0.45">
      <c r="A87" s="170"/>
      <c r="B87" s="171">
        <v>6810</v>
      </c>
      <c r="C87" s="172" t="s">
        <v>165</v>
      </c>
      <c r="D87" s="172"/>
      <c r="E87" s="179">
        <v>1412</v>
      </c>
      <c r="F87" s="185">
        <v>4021</v>
      </c>
      <c r="G87" s="180" t="s">
        <v>227</v>
      </c>
      <c r="H87" s="181">
        <v>0</v>
      </c>
      <c r="I87" s="183"/>
      <c r="J87" s="186">
        <v>0</v>
      </c>
      <c r="K87" s="185"/>
      <c r="L87" s="185"/>
      <c r="M87" s="185"/>
      <c r="N87" s="185"/>
      <c r="O87" s="185"/>
      <c r="P87" s="185">
        <v>0</v>
      </c>
      <c r="Q87" s="185"/>
      <c r="R87" s="185">
        <v>0</v>
      </c>
      <c r="S87" s="185"/>
      <c r="T87" s="185">
        <f>SUM(J87:R87)</f>
        <v>0</v>
      </c>
    </row>
    <row r="88" spans="1:22" ht="30.4" x14ac:dyDescent="0.45">
      <c r="A88" s="170"/>
      <c r="B88" s="171"/>
      <c r="C88" s="165" t="s">
        <v>166</v>
      </c>
      <c r="D88" s="165"/>
      <c r="E88" s="206">
        <f>SUM(E86:E87)</f>
        <v>3687</v>
      </c>
      <c r="F88" s="217">
        <f>SUM(F86:F87)</f>
        <v>4443</v>
      </c>
      <c r="G88" s="292" t="s">
        <v>228</v>
      </c>
      <c r="H88" s="218">
        <f>SUM(H86:H87)</f>
        <v>0</v>
      </c>
      <c r="I88" s="215"/>
      <c r="J88" s="206">
        <f>SUM(J86:J87)</f>
        <v>0</v>
      </c>
      <c r="K88" s="206">
        <f t="shared" ref="K88:T88" si="17">SUM(K86:K87)</f>
        <v>0</v>
      </c>
      <c r="L88" s="206">
        <f t="shared" si="17"/>
        <v>0</v>
      </c>
      <c r="M88" s="206">
        <f t="shared" si="17"/>
        <v>0</v>
      </c>
      <c r="N88" s="206">
        <f t="shared" si="17"/>
        <v>0</v>
      </c>
      <c r="O88" s="206">
        <f t="shared" si="17"/>
        <v>0</v>
      </c>
      <c r="P88" s="206">
        <f t="shared" si="17"/>
        <v>0</v>
      </c>
      <c r="Q88" s="206">
        <f t="shared" si="17"/>
        <v>0</v>
      </c>
      <c r="R88" s="206">
        <f t="shared" si="17"/>
        <v>0</v>
      </c>
      <c r="S88" s="206">
        <f t="shared" si="17"/>
        <v>0</v>
      </c>
      <c r="T88" s="206">
        <f t="shared" si="17"/>
        <v>0</v>
      </c>
    </row>
    <row r="89" spans="1:22" ht="15.4" x14ac:dyDescent="0.45">
      <c r="A89" s="170"/>
      <c r="B89" s="171"/>
      <c r="C89" s="172"/>
      <c r="D89" s="172"/>
      <c r="E89" s="220"/>
      <c r="F89" s="196"/>
      <c r="G89" s="196"/>
      <c r="H89" s="221"/>
      <c r="I89" s="220"/>
      <c r="J89" s="222"/>
      <c r="K89" s="52"/>
      <c r="L89" s="52"/>
      <c r="M89" s="52"/>
      <c r="N89" s="52"/>
      <c r="O89" s="52"/>
      <c r="P89" s="52"/>
      <c r="Q89" s="52"/>
      <c r="R89" s="52"/>
      <c r="S89" s="52"/>
      <c r="T89" s="198" t="s">
        <v>0</v>
      </c>
    </row>
    <row r="90" spans="1:22" s="228" customFormat="1" ht="23.25" x14ac:dyDescent="0.7">
      <c r="A90" s="223"/>
      <c r="B90" s="171"/>
      <c r="C90" s="190" t="s">
        <v>167</v>
      </c>
      <c r="D90" s="190"/>
      <c r="E90" s="224">
        <f>+E35+E51+E62+E71+E83+E88</f>
        <v>1814333</v>
      </c>
      <c r="F90" s="224">
        <f>+F35+F51+F62+F71+F83+F88</f>
        <v>1046230</v>
      </c>
      <c r="G90" s="224"/>
      <c r="H90" s="225">
        <f>+H35+H51+H62+H71+H83+H88</f>
        <v>0</v>
      </c>
      <c r="I90" s="226"/>
      <c r="J90" s="224">
        <f>+J35+J51+J62+J71+J83+J88</f>
        <v>0</v>
      </c>
      <c r="K90" s="224">
        <f t="shared" ref="K90:S90" si="18">+K35+K51+K62+K71+K83+K88</f>
        <v>0</v>
      </c>
      <c r="L90" s="224">
        <f t="shared" si="18"/>
        <v>0</v>
      </c>
      <c r="M90" s="224">
        <f t="shared" si="18"/>
        <v>0</v>
      </c>
      <c r="N90" s="224">
        <f t="shared" si="18"/>
        <v>0</v>
      </c>
      <c r="O90" s="224">
        <f t="shared" si="18"/>
        <v>0</v>
      </c>
      <c r="P90" s="224">
        <f t="shared" si="18"/>
        <v>0</v>
      </c>
      <c r="Q90" s="224">
        <f t="shared" si="18"/>
        <v>0</v>
      </c>
      <c r="R90" s="224">
        <f t="shared" si="18"/>
        <v>0</v>
      </c>
      <c r="S90" s="224">
        <f t="shared" si="18"/>
        <v>0</v>
      </c>
      <c r="T90" s="227">
        <f>SUM(J90:R90)</f>
        <v>0</v>
      </c>
    </row>
    <row r="91" spans="1:22" ht="15.4" x14ac:dyDescent="0.45">
      <c r="A91" s="170"/>
      <c r="B91" s="171"/>
      <c r="C91" s="172"/>
      <c r="D91" s="172"/>
      <c r="E91" s="229"/>
      <c r="F91" s="196"/>
      <c r="G91" s="196"/>
      <c r="H91" s="230"/>
      <c r="I91" s="229"/>
      <c r="J91" s="231"/>
      <c r="K91" s="52"/>
      <c r="L91" s="52"/>
      <c r="M91" s="52"/>
      <c r="N91" s="52"/>
      <c r="O91" s="52"/>
      <c r="P91" s="52"/>
      <c r="Q91" s="52"/>
      <c r="R91" s="52"/>
      <c r="S91" s="52"/>
      <c r="T91" s="198" t="s">
        <v>0</v>
      </c>
    </row>
    <row r="92" spans="1:22" ht="17.25" customHeight="1" x14ac:dyDescent="0.5">
      <c r="B92" s="98"/>
      <c r="C92" s="232"/>
      <c r="D92" s="232"/>
      <c r="E92" s="229"/>
      <c r="F92" s="196"/>
      <c r="G92" s="196"/>
      <c r="H92" s="230" t="s">
        <v>0</v>
      </c>
      <c r="I92" s="229"/>
      <c r="J92" s="231"/>
      <c r="K92" s="52"/>
      <c r="L92" s="52"/>
      <c r="M92" s="52"/>
      <c r="N92" s="52"/>
      <c r="O92" s="52"/>
      <c r="P92" s="52" t="s">
        <v>0</v>
      </c>
      <c r="Q92" s="52" t="s">
        <v>0</v>
      </c>
      <c r="R92" s="52"/>
      <c r="S92" s="52"/>
      <c r="T92" s="198" t="s">
        <v>0</v>
      </c>
    </row>
    <row r="93" spans="1:22" s="233" customFormat="1" ht="18.399999999999999" thickBot="1" x14ac:dyDescent="0.6">
      <c r="B93" s="234"/>
      <c r="C93" s="235" t="s">
        <v>168</v>
      </c>
      <c r="D93" s="235"/>
      <c r="E93" s="236">
        <f>+E25-E90</f>
        <v>88787</v>
      </c>
      <c r="F93" s="236">
        <f>+F25-F90</f>
        <v>-144090</v>
      </c>
      <c r="G93" s="236"/>
      <c r="H93" s="236">
        <f>+H25-H90</f>
        <v>68760</v>
      </c>
      <c r="I93" s="237"/>
      <c r="J93" s="238">
        <f>+J25-J90</f>
        <v>0</v>
      </c>
      <c r="K93" s="238">
        <f t="shared" ref="K93:S93" si="19">+K25-K90</f>
        <v>0</v>
      </c>
      <c r="L93" s="238">
        <f t="shared" si="19"/>
        <v>0</v>
      </c>
      <c r="M93" s="238">
        <f t="shared" si="19"/>
        <v>0</v>
      </c>
      <c r="N93" s="238">
        <f t="shared" si="19"/>
        <v>0</v>
      </c>
      <c r="O93" s="238">
        <f t="shared" si="19"/>
        <v>0</v>
      </c>
      <c r="P93" s="238">
        <f>+P25-P90</f>
        <v>0</v>
      </c>
      <c r="Q93" s="238">
        <f t="shared" si="19"/>
        <v>0</v>
      </c>
      <c r="R93" s="238">
        <f t="shared" si="19"/>
        <v>0</v>
      </c>
      <c r="S93" s="238">
        <f t="shared" si="19"/>
        <v>0</v>
      </c>
      <c r="T93" s="239">
        <f>SUM(J93:S93)</f>
        <v>0</v>
      </c>
      <c r="U93" s="240" t="s">
        <v>0</v>
      </c>
      <c r="V93" s="233" t="s">
        <v>0</v>
      </c>
    </row>
    <row r="94" spans="1:22" ht="16.149999999999999" thickTop="1" x14ac:dyDescent="0.5">
      <c r="B94" s="234"/>
      <c r="C94" s="232"/>
      <c r="D94" s="232"/>
      <c r="E94" s="229"/>
      <c r="F94" s="196"/>
      <c r="G94" s="196"/>
      <c r="H94" s="230"/>
      <c r="I94" s="229"/>
      <c r="J94" s="229"/>
      <c r="K94" s="178"/>
      <c r="L94" s="178"/>
      <c r="M94" s="178"/>
      <c r="N94" s="178"/>
      <c r="O94" s="178"/>
    </row>
    <row r="95" spans="1:22" x14ac:dyDescent="0.5">
      <c r="B95" s="98"/>
      <c r="C95" s="150"/>
      <c r="D95" s="150"/>
      <c r="E95" s="229"/>
      <c r="F95" s="196"/>
      <c r="G95" s="196" t="s">
        <v>229</v>
      </c>
      <c r="H95" s="229"/>
      <c r="I95" s="229"/>
      <c r="J95" s="229"/>
      <c r="K95" s="178"/>
      <c r="L95" s="178"/>
      <c r="M95" s="178"/>
      <c r="N95" s="178"/>
      <c r="O95" s="178"/>
      <c r="P95" s="241"/>
      <c r="Q95" s="241"/>
    </row>
    <row r="96" spans="1:22" x14ac:dyDescent="0.5">
      <c r="B96" s="98"/>
      <c r="E96" s="229"/>
      <c r="F96" s="196"/>
      <c r="G96" s="196" t="s">
        <v>230</v>
      </c>
      <c r="H96" s="229"/>
      <c r="I96" s="229"/>
      <c r="J96" s="229"/>
      <c r="K96" s="178"/>
      <c r="L96" s="178"/>
      <c r="M96" s="178"/>
      <c r="N96" s="178"/>
      <c r="O96" s="178"/>
      <c r="P96" s="241"/>
      <c r="Q96" s="241"/>
    </row>
    <row r="97" spans="2:17" x14ac:dyDescent="0.45">
      <c r="B97" s="98"/>
      <c r="C97" s="242"/>
      <c r="D97" s="242"/>
      <c r="E97" s="229"/>
      <c r="F97" s="196">
        <v>1189511.56</v>
      </c>
      <c r="G97" s="196" t="s">
        <v>231</v>
      </c>
      <c r="H97" s="229"/>
      <c r="I97" s="229"/>
      <c r="J97" s="229"/>
      <c r="K97" s="178"/>
      <c r="L97" s="178"/>
      <c r="M97" s="178"/>
      <c r="N97" s="178"/>
      <c r="O97" s="178"/>
      <c r="P97" s="52"/>
      <c r="Q97" s="52"/>
    </row>
    <row r="98" spans="2:17" x14ac:dyDescent="0.5">
      <c r="B98" s="98"/>
      <c r="E98" s="229"/>
      <c r="F98" s="196">
        <v>-287372.51</v>
      </c>
      <c r="G98" s="196" t="s">
        <v>232</v>
      </c>
      <c r="H98" s="229">
        <f>+F25</f>
        <v>902140</v>
      </c>
      <c r="I98" s="229"/>
      <c r="J98" s="229"/>
      <c r="K98" s="178"/>
      <c r="L98" s="178"/>
      <c r="M98" s="178"/>
      <c r="N98" s="178"/>
      <c r="O98" s="178"/>
      <c r="P98" s="52"/>
      <c r="Q98" s="52"/>
    </row>
    <row r="99" spans="2:17" x14ac:dyDescent="0.45">
      <c r="B99" s="243"/>
      <c r="C99" s="242"/>
      <c r="D99" s="242"/>
      <c r="E99" s="229"/>
      <c r="F99" s="196">
        <f>SUM(F97:F98)</f>
        <v>902139.05</v>
      </c>
      <c r="G99" s="196" t="s">
        <v>233</v>
      </c>
      <c r="H99" s="229">
        <f>-F90</f>
        <v>-1046230</v>
      </c>
      <c r="I99" s="229"/>
      <c r="J99" s="229"/>
      <c r="K99" s="178"/>
      <c r="L99" s="178"/>
      <c r="M99" s="178"/>
      <c r="N99" s="178"/>
      <c r="O99" s="178"/>
      <c r="P99" s="52"/>
      <c r="Q99" s="52"/>
    </row>
    <row r="100" spans="2:17" x14ac:dyDescent="0.5">
      <c r="B100" s="98"/>
      <c r="E100" s="229"/>
      <c r="F100" s="196"/>
      <c r="G100" s="196"/>
      <c r="H100" s="229">
        <f>SUM(H98:H99)</f>
        <v>-144090</v>
      </c>
      <c r="I100" s="229"/>
      <c r="J100" s="229"/>
      <c r="K100" s="178"/>
      <c r="L100" s="178"/>
      <c r="M100" s="178"/>
      <c r="N100" s="178"/>
      <c r="O100" s="178"/>
      <c r="P100" s="52"/>
      <c r="Q100" s="52"/>
    </row>
    <row r="101" spans="2:17" x14ac:dyDescent="0.5">
      <c r="B101" s="98"/>
      <c r="E101" s="244"/>
      <c r="F101" s="196"/>
      <c r="G101" s="196"/>
      <c r="H101" s="244"/>
      <c r="I101" s="244"/>
      <c r="J101" s="244"/>
      <c r="K101" s="178"/>
      <c r="L101" s="178"/>
      <c r="M101" s="178"/>
      <c r="N101" s="178"/>
      <c r="O101" s="178"/>
      <c r="P101" s="52"/>
      <c r="Q101" s="52"/>
    </row>
    <row r="102" spans="2:17" x14ac:dyDescent="0.5">
      <c r="B102" s="98"/>
      <c r="E102" s="244"/>
      <c r="F102" s="196">
        <f>+F90</f>
        <v>1046230</v>
      </c>
      <c r="G102" s="196"/>
      <c r="H102" s="244" t="s">
        <v>0</v>
      </c>
      <c r="I102" s="244"/>
      <c r="J102" s="244"/>
      <c r="K102" s="178"/>
      <c r="L102" s="178"/>
      <c r="M102" s="178"/>
      <c r="N102" s="178"/>
      <c r="O102" s="178"/>
      <c r="P102" s="52"/>
      <c r="Q102" s="52"/>
    </row>
    <row r="103" spans="2:17" x14ac:dyDescent="0.5">
      <c r="B103" s="98"/>
      <c r="E103" s="244"/>
      <c r="F103" s="196">
        <v>-1046230</v>
      </c>
      <c r="G103" s="196"/>
      <c r="H103" s="244"/>
      <c r="I103" s="244"/>
      <c r="J103" s="244"/>
      <c r="K103" s="178"/>
      <c r="L103" s="178"/>
      <c r="M103" s="178"/>
      <c r="N103" s="178"/>
      <c r="O103" s="245"/>
      <c r="P103" s="52"/>
      <c r="Q103" s="52"/>
    </row>
    <row r="104" spans="2:17" x14ac:dyDescent="0.5">
      <c r="B104" s="98"/>
      <c r="E104" s="244"/>
      <c r="F104" s="196">
        <f>SUM(F102:F103)</f>
        <v>0</v>
      </c>
      <c r="G104" s="196"/>
      <c r="H104" s="244"/>
      <c r="I104" s="244"/>
      <c r="J104" s="244"/>
      <c r="K104" s="7"/>
      <c r="L104" s="7"/>
      <c r="M104" s="7"/>
      <c r="N104" s="7"/>
      <c r="O104" s="245"/>
    </row>
    <row r="105" spans="2:17" x14ac:dyDescent="0.5">
      <c r="B105" s="98"/>
      <c r="E105" s="244"/>
      <c r="F105" s="196"/>
      <c r="G105" s="196"/>
      <c r="H105" s="244"/>
      <c r="I105" s="244"/>
      <c r="J105" s="244"/>
      <c r="K105" s="7"/>
      <c r="L105" s="7"/>
      <c r="M105" s="7"/>
      <c r="N105" s="7"/>
      <c r="O105" s="245"/>
      <c r="P105" s="241"/>
    </row>
    <row r="106" spans="2:17" x14ac:dyDescent="0.5">
      <c r="B106" s="98"/>
      <c r="E106" s="244"/>
      <c r="F106" s="196">
        <v>902139</v>
      </c>
      <c r="G106" s="196"/>
      <c r="H106" s="244"/>
      <c r="I106" s="244"/>
      <c r="J106" s="244"/>
      <c r="K106" s="7"/>
      <c r="L106" s="7"/>
      <c r="M106" s="7"/>
      <c r="N106" s="7"/>
      <c r="O106" s="245"/>
    </row>
    <row r="107" spans="2:17" x14ac:dyDescent="0.5">
      <c r="B107" s="98"/>
      <c r="E107" s="244"/>
      <c r="F107" s="285">
        <v>-1046230</v>
      </c>
      <c r="G107" s="196"/>
      <c r="H107" s="244"/>
      <c r="I107" s="244"/>
      <c r="J107" s="244"/>
      <c r="K107" s="7"/>
      <c r="L107" s="7"/>
      <c r="M107" s="7"/>
      <c r="N107" s="7"/>
      <c r="O107" s="245"/>
    </row>
    <row r="108" spans="2:17" x14ac:dyDescent="0.5">
      <c r="B108" s="98"/>
      <c r="E108" s="244"/>
      <c r="F108" s="196">
        <f>SUM(F106:F107)</f>
        <v>-144091</v>
      </c>
      <c r="G108" s="196"/>
      <c r="H108" s="244"/>
      <c r="I108" s="244"/>
      <c r="J108" s="244"/>
      <c r="K108" s="7"/>
      <c r="L108" s="7"/>
      <c r="M108" s="7"/>
      <c r="N108" s="7"/>
      <c r="O108" s="245"/>
    </row>
    <row r="109" spans="2:17" x14ac:dyDescent="0.5">
      <c r="B109" s="98"/>
      <c r="E109" s="244"/>
      <c r="F109" s="196"/>
      <c r="G109" s="196"/>
      <c r="H109" s="244"/>
      <c r="I109" s="244"/>
      <c r="J109" s="244"/>
      <c r="K109" s="7"/>
      <c r="L109" s="7"/>
      <c r="M109" s="7"/>
      <c r="N109" s="7"/>
      <c r="O109" s="245"/>
    </row>
    <row r="110" spans="2:17" x14ac:dyDescent="0.5">
      <c r="B110" s="98"/>
      <c r="E110" s="244"/>
      <c r="F110" s="196"/>
      <c r="G110" s="196"/>
      <c r="H110" s="244"/>
      <c r="I110" s="244"/>
      <c r="J110" s="244"/>
      <c r="K110" s="7"/>
      <c r="L110" s="7"/>
      <c r="M110" s="7"/>
      <c r="N110" s="7"/>
      <c r="O110" s="245"/>
    </row>
    <row r="111" spans="2:17" x14ac:dyDescent="0.5">
      <c r="B111" s="19"/>
      <c r="E111" s="244"/>
      <c r="F111" s="244">
        <v>144090</v>
      </c>
      <c r="G111" s="244"/>
      <c r="H111" s="244"/>
      <c r="I111" s="244"/>
      <c r="J111" s="244"/>
      <c r="K111" s="7"/>
      <c r="L111" s="7"/>
      <c r="M111" s="7"/>
      <c r="N111" s="7"/>
      <c r="O111" s="245"/>
    </row>
    <row r="112" spans="2:17" x14ac:dyDescent="0.5">
      <c r="B112" s="149"/>
      <c r="E112" s="244"/>
      <c r="F112" s="244">
        <v>-138091</v>
      </c>
      <c r="G112" s="244"/>
      <c r="H112" s="244"/>
      <c r="I112" s="244"/>
      <c r="J112" s="244"/>
      <c r="K112" s="7"/>
      <c r="L112" s="7"/>
      <c r="M112" s="7"/>
      <c r="N112" s="7"/>
      <c r="O112" s="245"/>
    </row>
    <row r="113" spans="2:15" x14ac:dyDescent="0.5">
      <c r="B113" s="149"/>
      <c r="E113" s="244"/>
      <c r="F113" s="244">
        <f>SUM(F111:F112)</f>
        <v>5999</v>
      </c>
      <c r="G113" s="244"/>
      <c r="H113" s="244"/>
      <c r="I113" s="244"/>
      <c r="J113" s="244"/>
      <c r="K113" s="7"/>
      <c r="L113" s="7"/>
      <c r="M113" s="7"/>
      <c r="N113" s="7"/>
      <c r="O113" s="245"/>
    </row>
    <row r="114" spans="2:15" x14ac:dyDescent="0.5">
      <c r="B114" s="149"/>
      <c r="E114" s="244"/>
      <c r="F114" s="244"/>
      <c r="G114" s="244"/>
      <c r="H114" s="244"/>
      <c r="I114" s="244"/>
      <c r="J114" s="244"/>
      <c r="K114" s="7"/>
      <c r="L114" s="7"/>
      <c r="M114" s="7"/>
      <c r="N114" s="7"/>
      <c r="O114" s="245"/>
    </row>
    <row r="115" spans="2:15" x14ac:dyDescent="0.5">
      <c r="B115" s="149"/>
      <c r="E115" s="244"/>
      <c r="F115" s="244"/>
      <c r="G115" s="244"/>
      <c r="H115" s="244"/>
      <c r="I115" s="244"/>
      <c r="J115" s="244"/>
      <c r="K115" s="7"/>
      <c r="L115" s="7"/>
      <c r="M115" s="7"/>
      <c r="N115" s="7"/>
      <c r="O115" s="7"/>
    </row>
    <row r="116" spans="2:15" x14ac:dyDescent="0.5">
      <c r="B116" s="149"/>
      <c r="E116" s="244"/>
      <c r="F116" s="244"/>
      <c r="G116" s="244"/>
      <c r="H116" s="244"/>
      <c r="I116" s="244"/>
      <c r="J116" s="244"/>
      <c r="K116" s="7"/>
      <c r="L116" s="7"/>
      <c r="M116" s="7"/>
      <c r="N116" s="7"/>
      <c r="O116" s="7"/>
    </row>
    <row r="117" spans="2:15" x14ac:dyDescent="0.5">
      <c r="B117" s="149"/>
      <c r="E117" s="244"/>
      <c r="F117" s="244"/>
      <c r="G117" s="244"/>
      <c r="H117" s="244"/>
      <c r="I117" s="244"/>
      <c r="J117" s="244"/>
      <c r="K117" s="7"/>
      <c r="L117" s="7"/>
      <c r="M117" s="7"/>
      <c r="N117" s="7"/>
      <c r="O117" s="7"/>
    </row>
    <row r="118" spans="2:15" x14ac:dyDescent="0.5">
      <c r="B118" s="149"/>
      <c r="E118" s="246"/>
      <c r="F118" s="246"/>
      <c r="G118" s="246"/>
      <c r="H118" s="246"/>
      <c r="I118" s="246"/>
      <c r="J118" s="246"/>
      <c r="K118" s="7"/>
      <c r="L118" s="7"/>
      <c r="M118" s="7"/>
      <c r="N118" s="7"/>
      <c r="O118" s="7"/>
    </row>
    <row r="119" spans="2:15" x14ac:dyDescent="0.5">
      <c r="B119" s="149"/>
      <c r="E119" s="246"/>
      <c r="F119" s="246"/>
      <c r="G119" s="246"/>
      <c r="H119" s="246"/>
      <c r="I119" s="246"/>
      <c r="J119" s="246"/>
      <c r="K119" s="7"/>
      <c r="L119" s="7"/>
      <c r="M119" s="7"/>
      <c r="N119" s="7"/>
      <c r="O119" s="7"/>
    </row>
    <row r="120" spans="2:15" x14ac:dyDescent="0.5">
      <c r="B120" s="149"/>
      <c r="E120" s="246"/>
      <c r="F120" s="246"/>
      <c r="G120" s="246"/>
      <c r="H120" s="246"/>
      <c r="I120" s="246"/>
      <c r="J120" s="246"/>
      <c r="K120" s="7"/>
      <c r="L120" s="7"/>
      <c r="M120" s="7"/>
      <c r="N120" s="7"/>
      <c r="O120" s="7"/>
    </row>
    <row r="121" spans="2:15" x14ac:dyDescent="0.5">
      <c r="B121" s="149"/>
      <c r="E121" s="246"/>
      <c r="F121" s="246"/>
      <c r="G121" s="246"/>
      <c r="H121" s="246"/>
      <c r="I121" s="246"/>
      <c r="J121" s="246"/>
    </row>
    <row r="122" spans="2:15" x14ac:dyDescent="0.5">
      <c r="B122" s="149"/>
      <c r="E122" s="246"/>
      <c r="F122" s="246"/>
      <c r="G122" s="246"/>
      <c r="H122" s="246"/>
      <c r="I122" s="246"/>
      <c r="J122" s="246"/>
    </row>
    <row r="123" spans="2:15" x14ac:dyDescent="0.5">
      <c r="B123" s="149"/>
      <c r="E123" s="246"/>
      <c r="F123" s="246"/>
      <c r="G123" s="246"/>
      <c r="H123" s="246"/>
      <c r="I123" s="246"/>
      <c r="J123" s="246"/>
    </row>
    <row r="124" spans="2:15" x14ac:dyDescent="0.5">
      <c r="B124" s="149"/>
      <c r="E124" s="246"/>
      <c r="F124" s="246"/>
      <c r="G124" s="246"/>
      <c r="H124" s="246"/>
      <c r="I124" s="246"/>
      <c r="J124" s="246"/>
    </row>
    <row r="125" spans="2:15" x14ac:dyDescent="0.5">
      <c r="B125" s="149"/>
      <c r="E125" s="246"/>
      <c r="F125" s="246"/>
      <c r="G125" s="246"/>
      <c r="H125" s="246"/>
      <c r="I125" s="246"/>
      <c r="J125" s="246"/>
    </row>
    <row r="126" spans="2:15" x14ac:dyDescent="0.5">
      <c r="B126" s="149"/>
      <c r="E126" s="246"/>
      <c r="F126" s="246"/>
      <c r="G126" s="246"/>
      <c r="H126" s="246"/>
      <c r="I126" s="246"/>
      <c r="J126" s="246"/>
    </row>
    <row r="127" spans="2:15" x14ac:dyDescent="0.5">
      <c r="B127" s="149"/>
      <c r="E127" s="246"/>
      <c r="F127" s="246"/>
      <c r="G127" s="246"/>
      <c r="H127" s="246"/>
      <c r="I127" s="246"/>
      <c r="J127" s="246"/>
    </row>
    <row r="128" spans="2:15" x14ac:dyDescent="0.5">
      <c r="B128" s="149"/>
      <c r="E128" s="246"/>
      <c r="F128" s="246"/>
      <c r="G128" s="246"/>
      <c r="H128" s="246"/>
      <c r="I128" s="246"/>
      <c r="J128" s="246"/>
    </row>
    <row r="129" spans="2:10" x14ac:dyDescent="0.5">
      <c r="B129" s="149"/>
      <c r="E129" s="246"/>
      <c r="F129" s="246"/>
      <c r="G129" s="246"/>
      <c r="H129" s="246"/>
      <c r="I129" s="246"/>
      <c r="J129" s="246"/>
    </row>
    <row r="130" spans="2:10" x14ac:dyDescent="0.5">
      <c r="B130" s="149"/>
      <c r="E130" s="246"/>
      <c r="F130" s="246"/>
      <c r="G130" s="246"/>
      <c r="H130" s="246"/>
      <c r="I130" s="246"/>
      <c r="J130" s="246"/>
    </row>
    <row r="131" spans="2:10" x14ac:dyDescent="0.5">
      <c r="B131" s="149"/>
      <c r="E131" s="246"/>
      <c r="F131" s="246"/>
      <c r="G131" s="246"/>
      <c r="H131" s="246"/>
      <c r="I131" s="246"/>
      <c r="J131" s="246"/>
    </row>
    <row r="132" spans="2:10" x14ac:dyDescent="0.5">
      <c r="B132" s="149"/>
      <c r="E132" s="246"/>
      <c r="F132" s="246"/>
      <c r="G132" s="246"/>
      <c r="H132" s="246"/>
      <c r="I132" s="246"/>
      <c r="J132" s="246"/>
    </row>
    <row r="133" spans="2:10" x14ac:dyDescent="0.5">
      <c r="B133" s="149"/>
      <c r="E133" s="246"/>
      <c r="F133" s="246"/>
      <c r="G133" s="246"/>
      <c r="H133" s="246"/>
      <c r="I133" s="246"/>
      <c r="J133" s="246"/>
    </row>
    <row r="134" spans="2:10" x14ac:dyDescent="0.5">
      <c r="B134" s="149"/>
      <c r="E134" s="246"/>
      <c r="F134" s="246"/>
      <c r="G134" s="246"/>
      <c r="H134" s="246"/>
      <c r="I134" s="246"/>
      <c r="J134" s="246"/>
    </row>
    <row r="135" spans="2:10" x14ac:dyDescent="0.5">
      <c r="B135" s="149"/>
      <c r="E135" s="246"/>
      <c r="F135" s="246"/>
      <c r="G135" s="246"/>
      <c r="H135" s="246"/>
      <c r="I135" s="246"/>
      <c r="J135" s="246"/>
    </row>
    <row r="136" spans="2:10" x14ac:dyDescent="0.5">
      <c r="B136" s="149"/>
      <c r="E136" s="246"/>
      <c r="F136" s="246"/>
      <c r="G136" s="246"/>
      <c r="H136" s="246"/>
      <c r="I136" s="246"/>
      <c r="J136" s="246"/>
    </row>
    <row r="137" spans="2:10" x14ac:dyDescent="0.5">
      <c r="B137" s="149"/>
      <c r="E137" s="246"/>
      <c r="F137" s="246"/>
      <c r="G137" s="246"/>
      <c r="H137" s="246"/>
      <c r="I137" s="246"/>
      <c r="J137" s="246"/>
    </row>
    <row r="138" spans="2:10" x14ac:dyDescent="0.5">
      <c r="B138" s="149"/>
      <c r="E138" s="246"/>
      <c r="F138" s="246"/>
      <c r="G138" s="246"/>
      <c r="H138" s="246"/>
      <c r="I138" s="246"/>
      <c r="J138" s="246"/>
    </row>
    <row r="139" spans="2:10" x14ac:dyDescent="0.5">
      <c r="B139" s="149"/>
      <c r="E139" s="246"/>
      <c r="F139" s="246"/>
      <c r="G139" s="246"/>
      <c r="H139" s="246"/>
      <c r="I139" s="246"/>
      <c r="J139" s="246"/>
    </row>
    <row r="140" spans="2:10" x14ac:dyDescent="0.5">
      <c r="B140" s="149"/>
      <c r="E140" s="246"/>
      <c r="F140" s="246"/>
      <c r="G140" s="246"/>
      <c r="H140" s="246"/>
      <c r="I140" s="246"/>
      <c r="J140" s="246"/>
    </row>
    <row r="141" spans="2:10" x14ac:dyDescent="0.5">
      <c r="B141" s="149"/>
      <c r="E141" s="246"/>
      <c r="F141" s="246"/>
      <c r="G141" s="246"/>
      <c r="H141" s="246"/>
      <c r="I141" s="246"/>
      <c r="J141" s="246"/>
    </row>
    <row r="142" spans="2:10" x14ac:dyDescent="0.5">
      <c r="B142" s="149"/>
      <c r="E142" s="246"/>
      <c r="F142" s="246"/>
      <c r="G142" s="246"/>
      <c r="H142" s="246"/>
      <c r="I142" s="246"/>
      <c r="J142" s="246"/>
    </row>
    <row r="143" spans="2:10" x14ac:dyDescent="0.5">
      <c r="B143" s="149"/>
      <c r="E143" s="246"/>
      <c r="F143" s="246"/>
      <c r="G143" s="246"/>
      <c r="H143" s="246"/>
      <c r="I143" s="246"/>
      <c r="J143" s="246"/>
    </row>
    <row r="144" spans="2:10" x14ac:dyDescent="0.5">
      <c r="B144" s="149"/>
      <c r="E144" s="246"/>
      <c r="F144" s="246"/>
      <c r="G144" s="246"/>
      <c r="H144" s="246"/>
      <c r="I144" s="246"/>
      <c r="J144" s="246"/>
    </row>
    <row r="145" spans="2:10" x14ac:dyDescent="0.5">
      <c r="B145" s="149"/>
      <c r="E145" s="246"/>
      <c r="F145" s="246"/>
      <c r="G145" s="246"/>
      <c r="H145" s="246"/>
      <c r="I145" s="246"/>
      <c r="J145" s="246"/>
    </row>
    <row r="146" spans="2:10" x14ac:dyDescent="0.5">
      <c r="B146" s="149"/>
      <c r="E146" s="246"/>
      <c r="F146" s="246"/>
      <c r="G146" s="246"/>
      <c r="H146" s="246"/>
      <c r="I146" s="246"/>
      <c r="J146" s="246"/>
    </row>
    <row r="147" spans="2:10" x14ac:dyDescent="0.5">
      <c r="B147" s="149"/>
      <c r="E147" s="246"/>
      <c r="F147" s="246"/>
      <c r="G147" s="246"/>
      <c r="H147" s="246"/>
      <c r="I147" s="246"/>
      <c r="J147" s="246"/>
    </row>
    <row r="148" spans="2:10" x14ac:dyDescent="0.5">
      <c r="B148" s="149"/>
      <c r="E148" s="246"/>
      <c r="F148" s="246"/>
      <c r="G148" s="246"/>
      <c r="H148" s="246"/>
      <c r="I148" s="246"/>
      <c r="J148" s="246"/>
    </row>
    <row r="149" spans="2:10" x14ac:dyDescent="0.5">
      <c r="B149" s="149"/>
      <c r="E149" s="246"/>
      <c r="F149" s="246"/>
      <c r="G149" s="246"/>
      <c r="H149" s="246"/>
      <c r="I149" s="246"/>
      <c r="J149" s="246"/>
    </row>
    <row r="150" spans="2:10" x14ac:dyDescent="0.5">
      <c r="B150" s="149"/>
      <c r="E150" s="246"/>
      <c r="F150" s="246"/>
      <c r="G150" s="246"/>
      <c r="H150" s="246"/>
      <c r="I150" s="246"/>
      <c r="J150" s="246"/>
    </row>
    <row r="151" spans="2:10" x14ac:dyDescent="0.5">
      <c r="B151" s="149"/>
      <c r="E151" s="246"/>
      <c r="F151" s="246"/>
      <c r="G151" s="246"/>
      <c r="H151" s="246"/>
      <c r="I151" s="246"/>
      <c r="J151" s="246"/>
    </row>
    <row r="152" spans="2:10" x14ac:dyDescent="0.5">
      <c r="B152" s="149"/>
      <c r="E152" s="246"/>
      <c r="F152" s="246"/>
      <c r="G152" s="246"/>
      <c r="H152" s="246"/>
      <c r="I152" s="246"/>
      <c r="J152" s="246"/>
    </row>
    <row r="153" spans="2:10" x14ac:dyDescent="0.5">
      <c r="B153" s="149"/>
      <c r="E153" s="246"/>
      <c r="F153" s="246"/>
      <c r="G153" s="246"/>
      <c r="H153" s="246"/>
      <c r="I153" s="246"/>
      <c r="J153" s="246"/>
    </row>
    <row r="154" spans="2:10" x14ac:dyDescent="0.5">
      <c r="B154" s="149"/>
      <c r="E154" s="246"/>
      <c r="F154" s="246"/>
      <c r="G154" s="246"/>
      <c r="H154" s="246"/>
      <c r="I154" s="246"/>
      <c r="J154" s="246"/>
    </row>
    <row r="155" spans="2:10" x14ac:dyDescent="0.5">
      <c r="B155" s="149"/>
      <c r="E155" s="246"/>
      <c r="F155" s="246"/>
      <c r="G155" s="246"/>
      <c r="H155" s="246"/>
      <c r="I155" s="246"/>
      <c r="J155" s="246"/>
    </row>
    <row r="156" spans="2:10" x14ac:dyDescent="0.5">
      <c r="B156" s="149"/>
      <c r="E156" s="246"/>
      <c r="F156" s="246"/>
      <c r="G156" s="246"/>
      <c r="H156" s="246"/>
      <c r="I156" s="246"/>
      <c r="J156" s="246"/>
    </row>
    <row r="157" spans="2:10" x14ac:dyDescent="0.5">
      <c r="B157" s="149"/>
      <c r="E157" s="246"/>
      <c r="F157" s="246"/>
      <c r="G157" s="246"/>
      <c r="H157" s="246"/>
      <c r="I157" s="246"/>
      <c r="J157" s="246"/>
    </row>
    <row r="158" spans="2:10" x14ac:dyDescent="0.5">
      <c r="B158" s="149"/>
      <c r="E158" s="246"/>
      <c r="F158" s="246"/>
      <c r="G158" s="246"/>
      <c r="H158" s="246"/>
      <c r="I158" s="246"/>
      <c r="J158" s="246"/>
    </row>
    <row r="159" spans="2:10" x14ac:dyDescent="0.5">
      <c r="B159" s="149"/>
      <c r="E159" s="246"/>
      <c r="F159" s="246"/>
      <c r="G159" s="246"/>
      <c r="H159" s="246"/>
      <c r="I159" s="246"/>
      <c r="J159" s="246"/>
    </row>
    <row r="160" spans="2:10" x14ac:dyDescent="0.5">
      <c r="B160" s="149"/>
      <c r="E160" s="246"/>
      <c r="F160" s="246"/>
      <c r="G160" s="246"/>
      <c r="H160" s="246"/>
      <c r="I160" s="246"/>
      <c r="J160" s="246"/>
    </row>
    <row r="161" spans="2:10" x14ac:dyDescent="0.5">
      <c r="B161" s="149"/>
      <c r="E161" s="246"/>
      <c r="F161" s="246"/>
      <c r="G161" s="246"/>
      <c r="H161" s="246"/>
      <c r="I161" s="246"/>
      <c r="J161" s="246"/>
    </row>
    <row r="162" spans="2:10" x14ac:dyDescent="0.5">
      <c r="B162" s="149"/>
      <c r="E162" s="246"/>
      <c r="F162" s="246"/>
      <c r="G162" s="246"/>
      <c r="H162" s="246"/>
      <c r="I162" s="246"/>
      <c r="J162" s="246"/>
    </row>
    <row r="163" spans="2:10" x14ac:dyDescent="0.5">
      <c r="B163" s="149"/>
      <c r="E163" s="246"/>
      <c r="F163" s="246"/>
      <c r="G163" s="246"/>
      <c r="H163" s="246"/>
      <c r="I163" s="246"/>
      <c r="J163" s="246"/>
    </row>
    <row r="164" spans="2:10" x14ac:dyDescent="0.5">
      <c r="B164" s="149"/>
      <c r="E164" s="246"/>
      <c r="F164" s="246"/>
      <c r="G164" s="246"/>
      <c r="H164" s="246"/>
      <c r="I164" s="246"/>
      <c r="J164" s="246"/>
    </row>
    <row r="165" spans="2:10" x14ac:dyDescent="0.5">
      <c r="B165" s="149"/>
      <c r="E165" s="246"/>
      <c r="F165" s="246"/>
      <c r="G165" s="246"/>
      <c r="H165" s="246"/>
      <c r="I165" s="246"/>
      <c r="J165" s="246"/>
    </row>
    <row r="166" spans="2:10" x14ac:dyDescent="0.5">
      <c r="B166" s="149"/>
      <c r="E166" s="246"/>
      <c r="F166" s="246"/>
      <c r="G166" s="246"/>
      <c r="H166" s="246"/>
      <c r="I166" s="246"/>
      <c r="J166" s="246"/>
    </row>
    <row r="167" spans="2:10" x14ac:dyDescent="0.5">
      <c r="B167" s="149"/>
      <c r="E167" s="246"/>
      <c r="F167" s="246"/>
      <c r="G167" s="246"/>
      <c r="H167" s="246"/>
      <c r="I167" s="246"/>
      <c r="J167" s="246"/>
    </row>
    <row r="168" spans="2:10" x14ac:dyDescent="0.5">
      <c r="B168" s="149"/>
      <c r="E168" s="246"/>
      <c r="F168" s="246"/>
      <c r="G168" s="246"/>
      <c r="H168" s="246"/>
      <c r="I168" s="246"/>
      <c r="J168" s="246"/>
    </row>
    <row r="169" spans="2:10" x14ac:dyDescent="0.5">
      <c r="B169" s="149"/>
      <c r="E169" s="246"/>
      <c r="F169" s="246"/>
      <c r="G169" s="246"/>
      <c r="H169" s="246"/>
      <c r="I169" s="246"/>
      <c r="J169" s="246"/>
    </row>
    <row r="170" spans="2:10" x14ac:dyDescent="0.5">
      <c r="B170" s="149"/>
      <c r="E170" s="246"/>
      <c r="F170" s="246"/>
      <c r="G170" s="246"/>
      <c r="H170" s="246"/>
      <c r="I170" s="246"/>
      <c r="J170" s="246"/>
    </row>
    <row r="171" spans="2:10" x14ac:dyDescent="0.5">
      <c r="B171" s="149"/>
      <c r="E171" s="246"/>
      <c r="F171" s="246"/>
      <c r="G171" s="246"/>
      <c r="H171" s="246"/>
      <c r="I171" s="246"/>
      <c r="J171" s="246"/>
    </row>
    <row r="172" spans="2:10" x14ac:dyDescent="0.5">
      <c r="B172" s="149"/>
      <c r="E172" s="246"/>
      <c r="F172" s="246"/>
      <c r="G172" s="246"/>
      <c r="H172" s="246"/>
      <c r="I172" s="246"/>
      <c r="J172" s="246"/>
    </row>
    <row r="173" spans="2:10" x14ac:dyDescent="0.5">
      <c r="B173" s="149"/>
      <c r="E173" s="246"/>
      <c r="F173" s="246"/>
      <c r="G173" s="246"/>
      <c r="H173" s="246"/>
      <c r="I173" s="246"/>
      <c r="J173" s="246"/>
    </row>
    <row r="174" spans="2:10" x14ac:dyDescent="0.5">
      <c r="B174" s="149"/>
      <c r="E174" s="246"/>
      <c r="F174" s="246"/>
      <c r="G174" s="246"/>
      <c r="H174" s="246"/>
      <c r="I174" s="246"/>
      <c r="J174" s="246"/>
    </row>
    <row r="175" spans="2:10" x14ac:dyDescent="0.5">
      <c r="B175" s="149"/>
      <c r="E175" s="246"/>
      <c r="F175" s="246"/>
      <c r="G175" s="246"/>
      <c r="H175" s="246"/>
      <c r="I175" s="246"/>
      <c r="J175" s="246"/>
    </row>
    <row r="176" spans="2:10" x14ac:dyDescent="0.5">
      <c r="B176" s="149"/>
      <c r="E176" s="246"/>
      <c r="F176" s="246"/>
      <c r="G176" s="246"/>
      <c r="H176" s="246"/>
      <c r="I176" s="246"/>
      <c r="J176" s="246"/>
    </row>
    <row r="177" spans="2:10" x14ac:dyDescent="0.5">
      <c r="B177" s="149"/>
      <c r="E177" s="246"/>
      <c r="F177" s="246"/>
      <c r="G177" s="246"/>
      <c r="H177" s="246"/>
      <c r="I177" s="246"/>
      <c r="J177" s="246"/>
    </row>
    <row r="178" spans="2:10" x14ac:dyDescent="0.5">
      <c r="B178" s="149"/>
      <c r="E178" s="246"/>
      <c r="F178" s="246"/>
      <c r="G178" s="246"/>
      <c r="H178" s="246"/>
      <c r="I178" s="246"/>
      <c r="J178" s="246"/>
    </row>
    <row r="179" spans="2:10" x14ac:dyDescent="0.5">
      <c r="B179" s="149"/>
      <c r="E179" s="246"/>
      <c r="F179" s="246"/>
      <c r="G179" s="246"/>
      <c r="H179" s="246"/>
      <c r="I179" s="246"/>
      <c r="J179" s="246"/>
    </row>
    <row r="180" spans="2:10" x14ac:dyDescent="0.5">
      <c r="B180" s="149"/>
      <c r="E180" s="246"/>
      <c r="F180" s="246"/>
      <c r="G180" s="246"/>
      <c r="H180" s="246"/>
      <c r="I180" s="246"/>
      <c r="J180" s="246"/>
    </row>
    <row r="181" spans="2:10" x14ac:dyDescent="0.5">
      <c r="B181" s="149"/>
      <c r="E181" s="246"/>
      <c r="F181" s="246"/>
      <c r="G181" s="246"/>
      <c r="H181" s="246"/>
      <c r="I181" s="246"/>
      <c r="J181" s="246"/>
    </row>
    <row r="182" spans="2:10" x14ac:dyDescent="0.5">
      <c r="B182" s="149"/>
      <c r="E182" s="246"/>
      <c r="F182" s="246"/>
      <c r="G182" s="246"/>
      <c r="H182" s="246"/>
      <c r="I182" s="246"/>
      <c r="J182" s="246"/>
    </row>
    <row r="183" spans="2:10" x14ac:dyDescent="0.5">
      <c r="B183" s="149"/>
      <c r="E183" s="246"/>
      <c r="F183" s="246"/>
      <c r="G183" s="246"/>
      <c r="H183" s="246"/>
      <c r="I183" s="246"/>
      <c r="J183" s="246"/>
    </row>
    <row r="184" spans="2:10" x14ac:dyDescent="0.5">
      <c r="B184" s="149"/>
      <c r="E184" s="246"/>
      <c r="F184" s="246"/>
      <c r="G184" s="246"/>
      <c r="H184" s="246"/>
      <c r="I184" s="246"/>
      <c r="J184" s="246"/>
    </row>
    <row r="185" spans="2:10" x14ac:dyDescent="0.5">
      <c r="B185" s="149"/>
      <c r="E185" s="246"/>
      <c r="F185" s="246"/>
      <c r="G185" s="246"/>
      <c r="H185" s="246"/>
      <c r="I185" s="246"/>
      <c r="J185" s="246"/>
    </row>
    <row r="186" spans="2:10" x14ac:dyDescent="0.5">
      <c r="B186" s="149"/>
      <c r="E186" s="246"/>
      <c r="F186" s="246"/>
      <c r="G186" s="246"/>
      <c r="H186" s="246"/>
      <c r="I186" s="246"/>
      <c r="J186" s="246"/>
    </row>
    <row r="187" spans="2:10" x14ac:dyDescent="0.5">
      <c r="B187" s="149"/>
      <c r="E187" s="247"/>
      <c r="F187" s="247"/>
      <c r="G187" s="247"/>
      <c r="H187" s="247"/>
      <c r="I187" s="247"/>
      <c r="J187" s="247"/>
    </row>
    <row r="188" spans="2:10" x14ac:dyDescent="0.5">
      <c r="B188" s="149"/>
      <c r="E188" s="247"/>
      <c r="F188" s="247"/>
      <c r="G188" s="247"/>
      <c r="H188" s="247"/>
      <c r="I188" s="247"/>
      <c r="J188" s="247"/>
    </row>
    <row r="189" spans="2:10" x14ac:dyDescent="0.5">
      <c r="B189" s="149"/>
      <c r="E189" s="247"/>
      <c r="F189" s="247"/>
      <c r="G189" s="247"/>
      <c r="H189" s="247"/>
      <c r="I189" s="247"/>
      <c r="J189" s="247"/>
    </row>
    <row r="190" spans="2:10" x14ac:dyDescent="0.5">
      <c r="B190" s="149"/>
      <c r="E190" s="247"/>
      <c r="F190" s="247"/>
      <c r="G190" s="247"/>
      <c r="H190" s="247"/>
      <c r="I190" s="247"/>
      <c r="J190" s="247"/>
    </row>
    <row r="191" spans="2:10" x14ac:dyDescent="0.5">
      <c r="B191" s="149"/>
      <c r="E191" s="247"/>
      <c r="F191" s="247"/>
      <c r="G191" s="247"/>
      <c r="H191" s="247"/>
      <c r="I191" s="247"/>
      <c r="J191" s="247"/>
    </row>
    <row r="192" spans="2:10" x14ac:dyDescent="0.5">
      <c r="B192" s="149"/>
      <c r="E192" s="247"/>
      <c r="F192" s="247"/>
      <c r="G192" s="247"/>
      <c r="H192" s="247"/>
      <c r="I192" s="247"/>
      <c r="J192" s="247"/>
    </row>
    <row r="193" spans="2:10" x14ac:dyDescent="0.5">
      <c r="B193" s="149"/>
      <c r="E193" s="247"/>
      <c r="F193" s="247"/>
      <c r="G193" s="247"/>
      <c r="H193" s="247"/>
      <c r="I193" s="247"/>
      <c r="J193" s="247"/>
    </row>
    <row r="194" spans="2:10" x14ac:dyDescent="0.5">
      <c r="B194" s="149"/>
      <c r="E194" s="247"/>
      <c r="F194" s="247"/>
      <c r="G194" s="247"/>
      <c r="H194" s="247"/>
      <c r="I194" s="247"/>
      <c r="J194" s="247"/>
    </row>
    <row r="195" spans="2:10" x14ac:dyDescent="0.5">
      <c r="B195" s="149"/>
      <c r="E195" s="247"/>
      <c r="F195" s="247"/>
      <c r="G195" s="247"/>
      <c r="H195" s="247"/>
      <c r="I195" s="247"/>
      <c r="J195" s="247"/>
    </row>
    <row r="196" spans="2:10" x14ac:dyDescent="0.5">
      <c r="B196" s="149"/>
      <c r="E196" s="247"/>
      <c r="F196" s="247"/>
      <c r="G196" s="247"/>
      <c r="H196" s="247"/>
      <c r="I196" s="247"/>
      <c r="J196" s="247"/>
    </row>
    <row r="197" spans="2:10" x14ac:dyDescent="0.5">
      <c r="B197" s="149"/>
      <c r="E197" s="247"/>
      <c r="F197" s="247"/>
      <c r="G197" s="247"/>
      <c r="H197" s="247"/>
      <c r="I197" s="247"/>
      <c r="J197" s="247"/>
    </row>
    <row r="198" spans="2:10" x14ac:dyDescent="0.5">
      <c r="B198" s="149"/>
      <c r="E198" s="247"/>
      <c r="F198" s="247"/>
      <c r="G198" s="247"/>
      <c r="H198" s="247"/>
      <c r="I198" s="247"/>
      <c r="J198" s="247"/>
    </row>
    <row r="199" spans="2:10" x14ac:dyDescent="0.5">
      <c r="B199" s="149"/>
      <c r="E199" s="247"/>
      <c r="F199" s="247"/>
      <c r="G199" s="247"/>
      <c r="H199" s="247"/>
      <c r="I199" s="247"/>
      <c r="J199" s="247"/>
    </row>
    <row r="200" spans="2:10" x14ac:dyDescent="0.5">
      <c r="B200" s="149"/>
      <c r="E200" s="247"/>
      <c r="F200" s="247"/>
      <c r="G200" s="247"/>
      <c r="H200" s="247"/>
      <c r="I200" s="247"/>
      <c r="J200" s="247"/>
    </row>
    <row r="201" spans="2:10" x14ac:dyDescent="0.5">
      <c r="B201" s="149"/>
      <c r="E201" s="247"/>
      <c r="F201" s="247"/>
      <c r="G201" s="247"/>
      <c r="H201" s="247"/>
      <c r="I201" s="247"/>
      <c r="J201" s="247"/>
    </row>
    <row r="202" spans="2:10" x14ac:dyDescent="0.5">
      <c r="B202" s="149"/>
      <c r="E202" s="247"/>
      <c r="F202" s="247"/>
      <c r="G202" s="247"/>
      <c r="H202" s="247"/>
      <c r="I202" s="247"/>
      <c r="J202" s="247"/>
    </row>
    <row r="203" spans="2:10" x14ac:dyDescent="0.5">
      <c r="B203" s="149"/>
      <c r="E203" s="247"/>
      <c r="F203" s="247"/>
      <c r="G203" s="247"/>
      <c r="H203" s="247"/>
      <c r="I203" s="247"/>
      <c r="J203" s="247"/>
    </row>
    <row r="204" spans="2:10" x14ac:dyDescent="0.5">
      <c r="B204" s="149"/>
      <c r="E204" s="247"/>
      <c r="F204" s="247"/>
      <c r="G204" s="247"/>
      <c r="H204" s="247"/>
      <c r="I204" s="247"/>
      <c r="J204" s="247"/>
    </row>
    <row r="205" spans="2:10" x14ac:dyDescent="0.5">
      <c r="B205" s="149"/>
      <c r="E205" s="247"/>
      <c r="F205" s="247"/>
      <c r="G205" s="247"/>
      <c r="H205" s="247"/>
      <c r="I205" s="247"/>
      <c r="J205" s="247"/>
    </row>
    <row r="206" spans="2:10" x14ac:dyDescent="0.5">
      <c r="B206" s="149"/>
      <c r="E206" s="247"/>
      <c r="F206" s="247"/>
      <c r="G206" s="247"/>
      <c r="H206" s="247"/>
      <c r="I206" s="247"/>
      <c r="J206" s="247"/>
    </row>
    <row r="207" spans="2:10" x14ac:dyDescent="0.5">
      <c r="B207" s="149"/>
      <c r="E207" s="247"/>
      <c r="F207" s="247"/>
      <c r="G207" s="247"/>
      <c r="H207" s="247"/>
      <c r="I207" s="247"/>
      <c r="J207" s="247"/>
    </row>
    <row r="208" spans="2:10" x14ac:dyDescent="0.5">
      <c r="B208" s="149"/>
      <c r="E208" s="247"/>
      <c r="F208" s="247"/>
      <c r="G208" s="247"/>
      <c r="H208" s="247"/>
      <c r="I208" s="247"/>
      <c r="J208" s="247"/>
    </row>
    <row r="209" spans="2:10" x14ac:dyDescent="0.5">
      <c r="B209" s="149"/>
      <c r="E209" s="247"/>
      <c r="F209" s="247"/>
      <c r="G209" s="247"/>
      <c r="H209" s="247"/>
      <c r="I209" s="247"/>
      <c r="J209" s="247"/>
    </row>
    <row r="210" spans="2:10" x14ac:dyDescent="0.5">
      <c r="B210" s="149"/>
      <c r="E210" s="247"/>
      <c r="F210" s="247"/>
      <c r="G210" s="247"/>
      <c r="H210" s="247"/>
      <c r="I210" s="247"/>
      <c r="J210" s="247"/>
    </row>
    <row r="211" spans="2:10" x14ac:dyDescent="0.5">
      <c r="B211" s="149"/>
      <c r="E211" s="247"/>
      <c r="F211" s="247"/>
      <c r="G211" s="247"/>
      <c r="H211" s="247"/>
      <c r="I211" s="247"/>
      <c r="J211" s="247"/>
    </row>
    <row r="212" spans="2:10" x14ac:dyDescent="0.5">
      <c r="B212" s="149"/>
      <c r="E212" s="247"/>
      <c r="F212" s="247"/>
      <c r="G212" s="247"/>
      <c r="H212" s="247"/>
      <c r="I212" s="247"/>
      <c r="J212" s="247"/>
    </row>
    <row r="213" spans="2:10" x14ac:dyDescent="0.5">
      <c r="B213" s="149"/>
      <c r="E213" s="247"/>
      <c r="F213" s="247"/>
      <c r="G213" s="247"/>
      <c r="H213" s="247"/>
      <c r="I213" s="247"/>
      <c r="J213" s="247"/>
    </row>
    <row r="214" spans="2:10" x14ac:dyDescent="0.5">
      <c r="B214" s="149"/>
      <c r="E214" s="247"/>
      <c r="F214" s="247"/>
      <c r="G214" s="247"/>
      <c r="H214" s="247"/>
      <c r="I214" s="247"/>
      <c r="J214" s="247"/>
    </row>
    <row r="215" spans="2:10" x14ac:dyDescent="0.5">
      <c r="B215" s="149"/>
      <c r="E215" s="247"/>
      <c r="F215" s="247"/>
      <c r="G215" s="247"/>
      <c r="H215" s="247"/>
      <c r="I215" s="247"/>
      <c r="J215" s="247"/>
    </row>
    <row r="216" spans="2:10" x14ac:dyDescent="0.5">
      <c r="B216" s="149"/>
      <c r="E216" s="247"/>
      <c r="F216" s="247"/>
      <c r="G216" s="247"/>
      <c r="H216" s="247"/>
      <c r="I216" s="247"/>
      <c r="J216" s="247"/>
    </row>
    <row r="217" spans="2:10" x14ac:dyDescent="0.5">
      <c r="B217" s="149"/>
      <c r="E217" s="247"/>
      <c r="F217" s="247"/>
      <c r="G217" s="247"/>
      <c r="H217" s="247"/>
      <c r="I217" s="247"/>
      <c r="J217" s="247"/>
    </row>
    <row r="218" spans="2:10" x14ac:dyDescent="0.5">
      <c r="B218" s="149"/>
      <c r="E218" s="247"/>
      <c r="F218" s="247"/>
      <c r="G218" s="247"/>
      <c r="H218" s="247"/>
      <c r="I218" s="247"/>
      <c r="J218" s="247"/>
    </row>
    <row r="219" spans="2:10" x14ac:dyDescent="0.5">
      <c r="B219" s="149"/>
      <c r="E219" s="247"/>
      <c r="F219" s="247"/>
      <c r="G219" s="247"/>
      <c r="H219" s="247"/>
      <c r="I219" s="247"/>
      <c r="J219" s="247"/>
    </row>
    <row r="220" spans="2:10" x14ac:dyDescent="0.5">
      <c r="B220" s="149"/>
      <c r="E220" s="247"/>
      <c r="F220" s="247"/>
      <c r="G220" s="247"/>
      <c r="H220" s="247"/>
      <c r="I220" s="247"/>
      <c r="J220" s="247"/>
    </row>
    <row r="221" spans="2:10" x14ac:dyDescent="0.5">
      <c r="B221" s="149"/>
      <c r="E221" s="247"/>
      <c r="F221" s="247"/>
      <c r="G221" s="247"/>
      <c r="H221" s="247"/>
      <c r="I221" s="247"/>
      <c r="J221" s="247"/>
    </row>
    <row r="222" spans="2:10" x14ac:dyDescent="0.5">
      <c r="B222" s="149"/>
      <c r="E222" s="247"/>
      <c r="F222" s="247"/>
      <c r="G222" s="247"/>
      <c r="H222" s="247"/>
      <c r="I222" s="247"/>
      <c r="J222" s="247"/>
    </row>
    <row r="223" spans="2:10" x14ac:dyDescent="0.5">
      <c r="B223" s="149"/>
      <c r="E223" s="247"/>
      <c r="F223" s="247"/>
      <c r="G223" s="247"/>
      <c r="H223" s="247"/>
      <c r="I223" s="247"/>
      <c r="J223" s="247"/>
    </row>
    <row r="224" spans="2:10" x14ac:dyDescent="0.5">
      <c r="B224" s="149"/>
      <c r="E224" s="247"/>
      <c r="F224" s="247"/>
      <c r="G224" s="247"/>
      <c r="H224" s="247"/>
      <c r="I224" s="247"/>
      <c r="J224" s="247"/>
    </row>
    <row r="225" spans="2:10" x14ac:dyDescent="0.5">
      <c r="B225" s="149"/>
      <c r="E225" s="247"/>
      <c r="F225" s="247"/>
      <c r="G225" s="247"/>
      <c r="H225" s="247"/>
      <c r="I225" s="247"/>
      <c r="J225" s="247"/>
    </row>
    <row r="226" spans="2:10" x14ac:dyDescent="0.5">
      <c r="B226" s="149"/>
      <c r="E226" s="247"/>
      <c r="F226" s="247"/>
      <c r="G226" s="247"/>
      <c r="H226" s="247"/>
      <c r="I226" s="247"/>
      <c r="J226" s="247"/>
    </row>
    <row r="227" spans="2:10" x14ac:dyDescent="0.5">
      <c r="B227" s="149"/>
      <c r="E227" s="247"/>
      <c r="F227" s="247"/>
      <c r="G227" s="247"/>
      <c r="H227" s="247"/>
      <c r="I227" s="247"/>
      <c r="J227" s="247"/>
    </row>
    <row r="228" spans="2:10" x14ac:dyDescent="0.5">
      <c r="B228" s="149"/>
      <c r="E228" s="247"/>
      <c r="F228" s="247"/>
      <c r="G228" s="247"/>
      <c r="H228" s="247"/>
      <c r="I228" s="247"/>
      <c r="J228" s="247"/>
    </row>
    <row r="229" spans="2:10" x14ac:dyDescent="0.5">
      <c r="B229" s="149"/>
      <c r="E229" s="247"/>
      <c r="F229" s="247"/>
      <c r="G229" s="247"/>
      <c r="H229" s="247"/>
      <c r="I229" s="247"/>
      <c r="J229" s="247"/>
    </row>
    <row r="230" spans="2:10" x14ac:dyDescent="0.5">
      <c r="B230" s="149"/>
      <c r="E230" s="247"/>
      <c r="F230" s="247"/>
      <c r="G230" s="247"/>
      <c r="H230" s="247"/>
      <c r="I230" s="247"/>
      <c r="J230" s="247"/>
    </row>
    <row r="231" spans="2:10" x14ac:dyDescent="0.5">
      <c r="B231" s="149"/>
      <c r="E231" s="247"/>
      <c r="F231" s="247"/>
      <c r="G231" s="247"/>
      <c r="H231" s="247"/>
      <c r="I231" s="247"/>
      <c r="J231" s="247"/>
    </row>
    <row r="232" spans="2:10" x14ac:dyDescent="0.5">
      <c r="B232" s="149"/>
      <c r="E232" s="247"/>
      <c r="F232" s="247"/>
      <c r="G232" s="247"/>
      <c r="H232" s="247"/>
      <c r="I232" s="247"/>
      <c r="J232" s="247"/>
    </row>
    <row r="233" spans="2:10" x14ac:dyDescent="0.5">
      <c r="B233" s="149"/>
      <c r="E233" s="247"/>
      <c r="F233" s="247"/>
      <c r="G233" s="247"/>
      <c r="H233" s="247"/>
      <c r="I233" s="247"/>
      <c r="J233" s="247"/>
    </row>
    <row r="234" spans="2:10" x14ac:dyDescent="0.5">
      <c r="B234" s="149"/>
      <c r="E234" s="247"/>
      <c r="F234" s="247"/>
      <c r="G234" s="247"/>
      <c r="H234" s="247"/>
      <c r="I234" s="247"/>
      <c r="J234" s="247"/>
    </row>
    <row r="235" spans="2:10" x14ac:dyDescent="0.5">
      <c r="B235" s="149"/>
      <c r="E235" s="247"/>
      <c r="F235" s="247"/>
      <c r="G235" s="247"/>
      <c r="H235" s="247"/>
      <c r="I235" s="247"/>
      <c r="J235" s="247"/>
    </row>
    <row r="236" spans="2:10" x14ac:dyDescent="0.5">
      <c r="B236" s="149"/>
      <c r="E236" s="247"/>
      <c r="F236" s="247"/>
      <c r="G236" s="247"/>
      <c r="H236" s="247"/>
      <c r="I236" s="247"/>
      <c r="J236" s="247"/>
    </row>
    <row r="237" spans="2:10" x14ac:dyDescent="0.5">
      <c r="B237" s="149"/>
      <c r="E237" s="247"/>
      <c r="F237" s="247"/>
      <c r="G237" s="247"/>
      <c r="H237" s="247"/>
      <c r="I237" s="247"/>
      <c r="J237" s="247"/>
    </row>
    <row r="238" spans="2:10" x14ac:dyDescent="0.5">
      <c r="B238" s="149"/>
      <c r="E238" s="247"/>
      <c r="F238" s="247"/>
      <c r="G238" s="247"/>
      <c r="H238" s="247"/>
      <c r="I238" s="247"/>
      <c r="J238" s="247"/>
    </row>
    <row r="239" spans="2:10" x14ac:dyDescent="0.5">
      <c r="B239" s="149"/>
      <c r="E239" s="247"/>
      <c r="F239" s="247"/>
      <c r="G239" s="247"/>
      <c r="H239" s="247"/>
      <c r="I239" s="247"/>
      <c r="J239" s="247"/>
    </row>
    <row r="240" spans="2:10" x14ac:dyDescent="0.5">
      <c r="B240" s="149"/>
      <c r="E240" s="247"/>
      <c r="F240" s="247"/>
      <c r="G240" s="247"/>
      <c r="H240" s="247"/>
      <c r="I240" s="247"/>
      <c r="J240" s="247"/>
    </row>
    <row r="241" spans="2:10" x14ac:dyDescent="0.5">
      <c r="B241" s="149"/>
      <c r="E241" s="247"/>
      <c r="F241" s="247"/>
      <c r="G241" s="247"/>
      <c r="H241" s="247"/>
      <c r="I241" s="247"/>
      <c r="J241" s="247"/>
    </row>
    <row r="242" spans="2:10" x14ac:dyDescent="0.5">
      <c r="B242" s="149"/>
      <c r="E242" s="247"/>
      <c r="F242" s="247"/>
      <c r="G242" s="247"/>
      <c r="H242" s="247"/>
      <c r="I242" s="247"/>
      <c r="J242" s="247"/>
    </row>
    <row r="243" spans="2:10" x14ac:dyDescent="0.5">
      <c r="B243" s="149"/>
      <c r="E243" s="247"/>
      <c r="F243" s="247"/>
      <c r="G243" s="247"/>
      <c r="H243" s="247"/>
      <c r="I243" s="247"/>
      <c r="J243" s="247"/>
    </row>
    <row r="244" spans="2:10" x14ac:dyDescent="0.5">
      <c r="B244" s="149"/>
      <c r="E244" s="247"/>
      <c r="F244" s="247"/>
      <c r="G244" s="247"/>
      <c r="H244" s="247"/>
      <c r="I244" s="247"/>
      <c r="J244" s="247"/>
    </row>
    <row r="245" spans="2:10" x14ac:dyDescent="0.5">
      <c r="B245" s="149"/>
      <c r="E245" s="247"/>
      <c r="F245" s="247"/>
      <c r="G245" s="247"/>
      <c r="H245" s="247"/>
      <c r="I245" s="247"/>
      <c r="J245" s="247"/>
    </row>
    <row r="246" spans="2:10" x14ac:dyDescent="0.5">
      <c r="B246" s="149"/>
      <c r="E246" s="247"/>
      <c r="F246" s="247"/>
      <c r="G246" s="247"/>
      <c r="H246" s="247"/>
      <c r="I246" s="247"/>
      <c r="J246" s="247"/>
    </row>
    <row r="247" spans="2:10" x14ac:dyDescent="0.5">
      <c r="B247" s="149"/>
      <c r="E247" s="247"/>
      <c r="F247" s="247"/>
      <c r="G247" s="247"/>
      <c r="H247" s="247"/>
      <c r="I247" s="247"/>
      <c r="J247" s="247"/>
    </row>
    <row r="248" spans="2:10" x14ac:dyDescent="0.5">
      <c r="B248" s="149"/>
      <c r="E248" s="247"/>
      <c r="F248" s="247"/>
      <c r="G248" s="247"/>
      <c r="H248" s="247"/>
      <c r="I248" s="247"/>
      <c r="J248" s="247"/>
    </row>
    <row r="249" spans="2:10" x14ac:dyDescent="0.5">
      <c r="B249" s="149"/>
      <c r="E249" s="247"/>
      <c r="F249" s="247"/>
      <c r="G249" s="247"/>
      <c r="H249" s="247"/>
      <c r="I249" s="247"/>
      <c r="J249" s="247"/>
    </row>
    <row r="250" spans="2:10" x14ac:dyDescent="0.5">
      <c r="B250" s="149"/>
      <c r="E250" s="247"/>
      <c r="F250" s="247"/>
      <c r="G250" s="247"/>
      <c r="H250" s="247"/>
      <c r="I250" s="247"/>
      <c r="J250" s="247"/>
    </row>
    <row r="251" spans="2:10" x14ac:dyDescent="0.5">
      <c r="B251" s="149"/>
      <c r="E251" s="247"/>
      <c r="F251" s="247"/>
      <c r="G251" s="247"/>
      <c r="H251" s="247"/>
      <c r="I251" s="247"/>
      <c r="J251" s="247"/>
    </row>
    <row r="252" spans="2:10" x14ac:dyDescent="0.5">
      <c r="B252" s="149"/>
      <c r="E252" s="247"/>
      <c r="F252" s="247"/>
      <c r="G252" s="247"/>
      <c r="H252" s="247"/>
      <c r="I252" s="247"/>
      <c r="J252" s="247"/>
    </row>
    <row r="253" spans="2:10" x14ac:dyDescent="0.5">
      <c r="B253" s="149"/>
      <c r="E253" s="247"/>
      <c r="F253" s="247"/>
      <c r="G253" s="247"/>
      <c r="H253" s="247"/>
      <c r="I253" s="247"/>
      <c r="J253" s="247"/>
    </row>
    <row r="254" spans="2:10" x14ac:dyDescent="0.5">
      <c r="B254" s="149"/>
      <c r="E254" s="247"/>
      <c r="F254" s="247"/>
      <c r="G254" s="247"/>
      <c r="H254" s="247"/>
      <c r="I254" s="247"/>
      <c r="J254" s="247"/>
    </row>
    <row r="255" spans="2:10" x14ac:dyDescent="0.5">
      <c r="B255" s="149"/>
      <c r="E255" s="247"/>
      <c r="F255" s="247"/>
      <c r="G255" s="247"/>
      <c r="H255" s="247"/>
      <c r="I255" s="247"/>
      <c r="J255" s="247"/>
    </row>
    <row r="256" spans="2:10" x14ac:dyDescent="0.5">
      <c r="B256" s="149"/>
      <c r="E256" s="247"/>
      <c r="F256" s="247"/>
      <c r="G256" s="247"/>
      <c r="H256" s="247"/>
      <c r="I256" s="247"/>
      <c r="J256" s="247"/>
    </row>
    <row r="257" spans="2:10" x14ac:dyDescent="0.5">
      <c r="B257" s="149"/>
      <c r="E257" s="247"/>
      <c r="F257" s="247"/>
      <c r="G257" s="247"/>
      <c r="H257" s="247"/>
      <c r="I257" s="247"/>
      <c r="J257" s="247"/>
    </row>
    <row r="258" spans="2:10" x14ac:dyDescent="0.5">
      <c r="B258" s="149"/>
      <c r="E258" s="247"/>
      <c r="F258" s="247"/>
      <c r="G258" s="247"/>
      <c r="H258" s="247"/>
      <c r="I258" s="247"/>
      <c r="J258" s="247"/>
    </row>
    <row r="259" spans="2:10" x14ac:dyDescent="0.5">
      <c r="B259" s="149"/>
      <c r="E259" s="247"/>
      <c r="F259" s="247"/>
      <c r="G259" s="247"/>
      <c r="H259" s="247"/>
      <c r="I259" s="247"/>
      <c r="J259" s="247"/>
    </row>
    <row r="260" spans="2:10" x14ac:dyDescent="0.5">
      <c r="B260" s="149"/>
      <c r="E260" s="247"/>
      <c r="F260" s="247"/>
      <c r="G260" s="247"/>
      <c r="H260" s="247"/>
      <c r="I260" s="247"/>
      <c r="J260" s="247"/>
    </row>
    <row r="261" spans="2:10" x14ac:dyDescent="0.5">
      <c r="B261" s="149"/>
      <c r="E261" s="247"/>
      <c r="F261" s="247"/>
      <c r="G261" s="247"/>
      <c r="H261" s="247"/>
      <c r="I261" s="247"/>
      <c r="J261" s="247"/>
    </row>
    <row r="262" spans="2:10" x14ac:dyDescent="0.5">
      <c r="B262" s="149"/>
      <c r="E262" s="247"/>
      <c r="F262" s="247"/>
      <c r="G262" s="247"/>
      <c r="H262" s="247"/>
      <c r="I262" s="247"/>
      <c r="J262" s="247"/>
    </row>
    <row r="263" spans="2:10" x14ac:dyDescent="0.5">
      <c r="B263" s="149"/>
      <c r="E263" s="247"/>
      <c r="F263" s="247"/>
      <c r="G263" s="247"/>
      <c r="H263" s="247"/>
      <c r="I263" s="247"/>
      <c r="J263" s="247"/>
    </row>
    <row r="264" spans="2:10" x14ac:dyDescent="0.5">
      <c r="B264" s="149"/>
      <c r="E264" s="247"/>
      <c r="F264" s="247"/>
      <c r="G264" s="247"/>
      <c r="H264" s="247"/>
      <c r="I264" s="247"/>
      <c r="J264" s="247"/>
    </row>
    <row r="265" spans="2:10" x14ac:dyDescent="0.5">
      <c r="B265" s="149"/>
      <c r="E265" s="247"/>
      <c r="F265" s="247"/>
      <c r="G265" s="247"/>
      <c r="H265" s="247"/>
      <c r="I265" s="247"/>
      <c r="J265" s="247"/>
    </row>
    <row r="266" spans="2:10" x14ac:dyDescent="0.5">
      <c r="B266" s="149"/>
      <c r="E266" s="247"/>
      <c r="F266" s="247"/>
      <c r="G266" s="247"/>
      <c r="H266" s="247"/>
      <c r="I266" s="247"/>
      <c r="J266" s="247"/>
    </row>
    <row r="267" spans="2:10" x14ac:dyDescent="0.5">
      <c r="B267" s="149"/>
      <c r="E267" s="247"/>
      <c r="F267" s="247"/>
      <c r="G267" s="247"/>
      <c r="H267" s="247"/>
      <c r="I267" s="247"/>
      <c r="J267" s="247"/>
    </row>
    <row r="268" spans="2:10" x14ac:dyDescent="0.5">
      <c r="B268" s="149"/>
      <c r="E268" s="247"/>
      <c r="F268" s="247"/>
      <c r="G268" s="247"/>
      <c r="H268" s="247"/>
      <c r="I268" s="247"/>
      <c r="J268" s="247"/>
    </row>
    <row r="269" spans="2:10" x14ac:dyDescent="0.5">
      <c r="B269" s="149"/>
      <c r="E269" s="247"/>
      <c r="F269" s="247"/>
      <c r="G269" s="247"/>
      <c r="H269" s="247"/>
      <c r="I269" s="247"/>
      <c r="J269" s="247"/>
    </row>
    <row r="270" spans="2:10" x14ac:dyDescent="0.5">
      <c r="B270" s="149"/>
      <c r="E270" s="247"/>
      <c r="F270" s="247"/>
      <c r="G270" s="247"/>
      <c r="H270" s="247"/>
      <c r="I270" s="247"/>
      <c r="J270" s="247"/>
    </row>
    <row r="271" spans="2:10" x14ac:dyDescent="0.5">
      <c r="B271" s="149"/>
      <c r="E271" s="247"/>
      <c r="F271" s="247"/>
      <c r="G271" s="247"/>
      <c r="H271" s="247"/>
      <c r="I271" s="247"/>
      <c r="J271" s="247"/>
    </row>
    <row r="272" spans="2:10" x14ac:dyDescent="0.5">
      <c r="B272" s="149"/>
      <c r="E272" s="247"/>
      <c r="F272" s="247"/>
      <c r="G272" s="247"/>
      <c r="H272" s="247"/>
      <c r="I272" s="247"/>
      <c r="J272" s="247"/>
    </row>
    <row r="273" spans="2:10" x14ac:dyDescent="0.5">
      <c r="B273" s="149"/>
      <c r="E273" s="247"/>
      <c r="F273" s="247"/>
      <c r="G273" s="247"/>
      <c r="H273" s="247"/>
      <c r="I273" s="247"/>
      <c r="J273" s="247"/>
    </row>
    <row r="274" spans="2:10" x14ac:dyDescent="0.5">
      <c r="B274" s="149"/>
      <c r="E274" s="247"/>
      <c r="F274" s="247"/>
      <c r="G274" s="247"/>
      <c r="H274" s="247"/>
      <c r="I274" s="247"/>
      <c r="J274" s="247"/>
    </row>
    <row r="275" spans="2:10" x14ac:dyDescent="0.5">
      <c r="B275" s="149"/>
      <c r="E275" s="247"/>
      <c r="F275" s="247"/>
      <c r="G275" s="247"/>
      <c r="H275" s="247"/>
      <c r="I275" s="247"/>
      <c r="J275" s="247"/>
    </row>
    <row r="276" spans="2:10" x14ac:dyDescent="0.5">
      <c r="B276" s="149"/>
      <c r="E276" s="247"/>
      <c r="F276" s="247"/>
      <c r="G276" s="247"/>
      <c r="H276" s="247"/>
      <c r="I276" s="247"/>
      <c r="J276" s="247"/>
    </row>
    <row r="277" spans="2:10" x14ac:dyDescent="0.5">
      <c r="B277" s="149"/>
      <c r="E277" s="247"/>
      <c r="F277" s="247"/>
      <c r="G277" s="247"/>
      <c r="H277" s="247"/>
      <c r="I277" s="247"/>
      <c r="J277" s="247"/>
    </row>
    <row r="278" spans="2:10" x14ac:dyDescent="0.5">
      <c r="B278" s="149"/>
      <c r="E278" s="247"/>
      <c r="F278" s="247"/>
      <c r="G278" s="247"/>
      <c r="H278" s="247"/>
      <c r="I278" s="247"/>
      <c r="J278" s="247"/>
    </row>
    <row r="279" spans="2:10" x14ac:dyDescent="0.5">
      <c r="B279" s="149"/>
      <c r="E279" s="247"/>
      <c r="F279" s="247"/>
      <c r="G279" s="247"/>
      <c r="H279" s="247"/>
      <c r="I279" s="247"/>
      <c r="J279" s="247"/>
    </row>
    <row r="280" spans="2:10" x14ac:dyDescent="0.5">
      <c r="B280" s="149"/>
      <c r="E280" s="247"/>
      <c r="F280" s="247"/>
      <c r="G280" s="247"/>
      <c r="H280" s="247"/>
      <c r="I280" s="247"/>
      <c r="J280" s="247"/>
    </row>
    <row r="281" spans="2:10" x14ac:dyDescent="0.5">
      <c r="B281" s="149"/>
      <c r="E281" s="247"/>
      <c r="F281" s="247"/>
      <c r="G281" s="247"/>
      <c r="H281" s="247"/>
      <c r="I281" s="247"/>
      <c r="J281" s="247"/>
    </row>
    <row r="282" spans="2:10" x14ac:dyDescent="0.5">
      <c r="B282" s="149"/>
      <c r="E282" s="247"/>
      <c r="F282" s="247"/>
      <c r="G282" s="247"/>
      <c r="H282" s="247"/>
      <c r="I282" s="247"/>
      <c r="J282" s="247"/>
    </row>
    <row r="283" spans="2:10" x14ac:dyDescent="0.5">
      <c r="B283" s="149"/>
      <c r="E283" s="247"/>
      <c r="F283" s="247"/>
      <c r="G283" s="247"/>
      <c r="H283" s="247"/>
      <c r="I283" s="247"/>
      <c r="J283" s="247"/>
    </row>
    <row r="284" spans="2:10" x14ac:dyDescent="0.5">
      <c r="B284" s="149"/>
      <c r="E284" s="247"/>
      <c r="F284" s="247"/>
      <c r="G284" s="247"/>
      <c r="H284" s="247"/>
      <c r="I284" s="247"/>
      <c r="J284" s="247"/>
    </row>
    <row r="285" spans="2:10" x14ac:dyDescent="0.5">
      <c r="B285" s="149"/>
      <c r="E285" s="247"/>
      <c r="F285" s="247"/>
      <c r="G285" s="247"/>
      <c r="H285" s="247"/>
      <c r="I285" s="247"/>
      <c r="J285" s="247"/>
    </row>
    <row r="286" spans="2:10" x14ac:dyDescent="0.5">
      <c r="B286" s="149"/>
      <c r="E286" s="247"/>
      <c r="F286" s="247"/>
      <c r="G286" s="247"/>
      <c r="H286" s="247"/>
      <c r="I286" s="247"/>
      <c r="J286" s="247"/>
    </row>
    <row r="287" spans="2:10" x14ac:dyDescent="0.5">
      <c r="B287" s="149"/>
      <c r="E287" s="247"/>
      <c r="F287" s="247"/>
      <c r="G287" s="247"/>
      <c r="H287" s="247"/>
      <c r="I287" s="247"/>
      <c r="J287" s="247"/>
    </row>
    <row r="288" spans="2:10" x14ac:dyDescent="0.5">
      <c r="B288" s="149"/>
      <c r="E288" s="247"/>
      <c r="F288" s="247"/>
      <c r="G288" s="247"/>
      <c r="H288" s="247"/>
      <c r="I288" s="247"/>
      <c r="J288" s="247"/>
    </row>
    <row r="289" spans="2:10" x14ac:dyDescent="0.5">
      <c r="B289" s="149"/>
      <c r="E289" s="247"/>
      <c r="F289" s="247"/>
      <c r="G289" s="247"/>
      <c r="H289" s="247"/>
      <c r="I289" s="247"/>
      <c r="J289" s="247"/>
    </row>
    <row r="290" spans="2:10" x14ac:dyDescent="0.5">
      <c r="B290" s="149"/>
      <c r="E290" s="247"/>
      <c r="F290" s="247"/>
      <c r="G290" s="247"/>
      <c r="H290" s="247"/>
      <c r="I290" s="247"/>
      <c r="J290" s="247"/>
    </row>
    <row r="291" spans="2:10" x14ac:dyDescent="0.5">
      <c r="B291" s="149"/>
      <c r="E291" s="247"/>
      <c r="F291" s="247"/>
      <c r="G291" s="247"/>
      <c r="H291" s="247"/>
      <c r="I291" s="247"/>
      <c r="J291" s="247"/>
    </row>
    <row r="292" spans="2:10" x14ac:dyDescent="0.5">
      <c r="B292" s="149"/>
      <c r="E292" s="247"/>
      <c r="F292" s="247"/>
      <c r="G292" s="247"/>
      <c r="H292" s="247"/>
      <c r="I292" s="247"/>
      <c r="J292" s="247"/>
    </row>
    <row r="293" spans="2:10" x14ac:dyDescent="0.5">
      <c r="B293" s="149"/>
      <c r="E293" s="247"/>
      <c r="F293" s="247"/>
      <c r="G293" s="247"/>
      <c r="H293" s="247"/>
      <c r="I293" s="247"/>
      <c r="J293" s="247"/>
    </row>
    <row r="294" spans="2:10" x14ac:dyDescent="0.5">
      <c r="B294" s="149"/>
      <c r="E294" s="247"/>
      <c r="F294" s="247"/>
      <c r="G294" s="247"/>
      <c r="H294" s="247"/>
      <c r="I294" s="247"/>
      <c r="J294" s="247"/>
    </row>
    <row r="295" spans="2:10" x14ac:dyDescent="0.5">
      <c r="B295" s="149"/>
      <c r="E295" s="247"/>
      <c r="F295" s="247"/>
      <c r="G295" s="247"/>
      <c r="H295" s="247"/>
      <c r="I295" s="247"/>
      <c r="J295" s="247"/>
    </row>
    <row r="296" spans="2:10" x14ac:dyDescent="0.5">
      <c r="B296" s="149"/>
      <c r="E296" s="247"/>
      <c r="F296" s="247"/>
      <c r="G296" s="247"/>
      <c r="H296" s="247"/>
      <c r="I296" s="247"/>
      <c r="J296" s="247"/>
    </row>
    <row r="297" spans="2:10" x14ac:dyDescent="0.5">
      <c r="B297" s="149"/>
      <c r="E297" s="247"/>
      <c r="F297" s="247"/>
      <c r="G297" s="247"/>
      <c r="H297" s="247"/>
      <c r="I297" s="247"/>
      <c r="J297" s="247"/>
    </row>
    <row r="298" spans="2:10" x14ac:dyDescent="0.5">
      <c r="B298" s="149"/>
      <c r="E298" s="247"/>
      <c r="F298" s="247"/>
      <c r="G298" s="247"/>
      <c r="H298" s="247"/>
      <c r="I298" s="247"/>
      <c r="J298" s="247"/>
    </row>
    <row r="299" spans="2:10" x14ac:dyDescent="0.5">
      <c r="B299" s="149"/>
      <c r="E299" s="247"/>
      <c r="F299" s="247"/>
      <c r="G299" s="247"/>
      <c r="H299" s="247"/>
      <c r="I299" s="247"/>
      <c r="J299" s="247"/>
    </row>
    <row r="300" spans="2:10" x14ac:dyDescent="0.5">
      <c r="B300" s="149"/>
      <c r="E300" s="247"/>
      <c r="F300" s="247"/>
      <c r="G300" s="247"/>
      <c r="H300" s="247"/>
      <c r="I300" s="247"/>
      <c r="J300" s="247"/>
    </row>
    <row r="301" spans="2:10" x14ac:dyDescent="0.5">
      <c r="B301" s="149"/>
      <c r="E301" s="247"/>
      <c r="F301" s="247"/>
      <c r="G301" s="247"/>
      <c r="H301" s="247"/>
      <c r="I301" s="247"/>
      <c r="J301" s="247"/>
    </row>
    <row r="302" spans="2:10" x14ac:dyDescent="0.5">
      <c r="B302" s="149"/>
      <c r="E302" s="247"/>
      <c r="F302" s="247"/>
      <c r="G302" s="247"/>
      <c r="H302" s="247"/>
      <c r="I302" s="247"/>
      <c r="J302" s="247"/>
    </row>
    <row r="303" spans="2:10" x14ac:dyDescent="0.5">
      <c r="B303" s="149"/>
      <c r="E303" s="247"/>
      <c r="F303" s="247"/>
      <c r="G303" s="247"/>
      <c r="H303" s="247"/>
      <c r="I303" s="247"/>
      <c r="J303" s="247"/>
    </row>
    <row r="304" spans="2:10" x14ac:dyDescent="0.5">
      <c r="B304" s="149"/>
      <c r="E304" s="247"/>
      <c r="F304" s="247"/>
      <c r="G304" s="247"/>
      <c r="H304" s="247"/>
      <c r="I304" s="247"/>
      <c r="J304" s="247"/>
    </row>
    <row r="305" spans="2:10" x14ac:dyDescent="0.5">
      <c r="B305" s="149"/>
      <c r="E305" s="247"/>
      <c r="F305" s="247"/>
      <c r="G305" s="247"/>
      <c r="H305" s="247"/>
      <c r="I305" s="247"/>
      <c r="J305" s="247"/>
    </row>
  </sheetData>
  <pageMargins left="0.7" right="0.7" top="0.75" bottom="0.75" header="0.3" footer="0.3"/>
  <pageSetup scale="55" orientation="portrait" r:id="rId1"/>
  <rowBreaks count="1" manualBreakCount="1">
    <brk id="36" min="1" max="5" man="1"/>
  </rowBreaks>
  <colBreaks count="1" manualBreakCount="1">
    <brk id="12" min="6" max="93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69DFD-5366-4F1D-9528-0799E6DE2050}">
  <sheetPr>
    <tabColor rgb="FFFFFF00"/>
  </sheetPr>
  <dimension ref="A1:AH298"/>
  <sheetViews>
    <sheetView tabSelected="1" topLeftCell="A7" zoomScale="90" zoomScaleNormal="90" zoomScaleSheetLayoutView="75" workbookViewId="0">
      <selection activeCell="O94" sqref="O94"/>
    </sheetView>
  </sheetViews>
  <sheetFormatPr defaultColWidth="8.86328125" defaultRowHeight="15.75" x14ac:dyDescent="0.5"/>
  <cols>
    <col min="1" max="1" width="3.59765625" customWidth="1"/>
    <col min="2" max="2" width="8.1328125" style="148" customWidth="1"/>
    <col min="3" max="3" width="46.1328125" style="149" customWidth="1"/>
    <col min="4" max="4" width="2.6640625" style="149" customWidth="1"/>
    <col min="5" max="5" width="14.59765625" style="150" customWidth="1"/>
    <col min="6" max="6" width="14.3984375" style="150" customWidth="1"/>
    <col min="7" max="7" width="14.59765625" style="150" hidden="1" customWidth="1"/>
    <col min="8" max="8" width="3.59765625" style="150" customWidth="1"/>
    <col min="9" max="9" width="14.59765625" style="150" customWidth="1"/>
    <col min="10" max="10" width="5.265625" style="150" customWidth="1"/>
    <col min="11" max="11" width="12.06640625" style="150" customWidth="1"/>
    <col min="12" max="12" width="1.06640625" style="150" hidden="1" customWidth="1"/>
    <col min="13" max="13" width="12" customWidth="1"/>
    <col min="14" max="14" width="0.19921875" hidden="1" customWidth="1"/>
    <col min="15" max="15" width="12.46484375" customWidth="1"/>
    <col min="16" max="16" width="9.73046875" hidden="1" customWidth="1"/>
    <col min="17" max="17" width="12.46484375" customWidth="1"/>
    <col min="18" max="18" width="4.53125" hidden="1" customWidth="1"/>
    <col min="19" max="19" width="14.265625" customWidth="1"/>
    <col min="20" max="20" width="0.265625" hidden="1" customWidth="1"/>
    <col min="21" max="21" width="14.46484375" customWidth="1"/>
    <col min="22" max="22" width="21.46484375" hidden="1" customWidth="1"/>
    <col min="23" max="23" width="16.796875" customWidth="1"/>
    <col min="24" max="24" width="0.73046875" hidden="1" customWidth="1"/>
    <col min="25" max="25" width="0.86328125" hidden="1" customWidth="1"/>
    <col min="26" max="26" width="0.1328125" customWidth="1"/>
    <col min="27" max="27" width="15" customWidth="1"/>
    <col min="28" max="28" width="4.3984375" hidden="1" customWidth="1"/>
    <col min="29" max="29" width="10.86328125" hidden="1" customWidth="1"/>
    <col min="30" max="30" width="16.59765625" bestFit="1" customWidth="1"/>
    <col min="32" max="32" width="16.73046875" customWidth="1"/>
    <col min="33" max="33" width="11.265625" bestFit="1" customWidth="1"/>
    <col min="34" max="34" width="14.06640625" customWidth="1"/>
  </cols>
  <sheetData>
    <row r="1" spans="2:30" hidden="1" x14ac:dyDescent="0.5">
      <c r="I1" s="151">
        <f>K1/K5</f>
        <v>0.15998207483755322</v>
      </c>
      <c r="J1" s="151"/>
      <c r="K1" s="152">
        <v>2142</v>
      </c>
      <c r="L1" s="152"/>
      <c r="M1" t="s">
        <v>50</v>
      </c>
      <c r="O1" s="52">
        <f>20000*I1</f>
        <v>3199.6414967510646</v>
      </c>
      <c r="P1" s="52"/>
      <c r="Q1" t="s">
        <v>50</v>
      </c>
    </row>
    <row r="2" spans="2:30" hidden="1" x14ac:dyDescent="0.5">
      <c r="I2" s="151">
        <f>K2/K5</f>
        <v>6.9982821719321825E-2</v>
      </c>
      <c r="J2" s="151"/>
      <c r="K2" s="152">
        <v>937</v>
      </c>
      <c r="L2" s="152"/>
      <c r="M2" t="s">
        <v>96</v>
      </c>
      <c r="O2" s="52">
        <f>20000*I2</f>
        <v>1399.6564343864366</v>
      </c>
      <c r="P2" s="52"/>
      <c r="Q2" t="s">
        <v>96</v>
      </c>
      <c r="S2" s="52">
        <v>100000</v>
      </c>
      <c r="T2" s="52"/>
      <c r="U2" t="s">
        <v>97</v>
      </c>
      <c r="W2" t="s">
        <v>60</v>
      </c>
      <c r="AA2" s="52">
        <v>79276</v>
      </c>
      <c r="AB2" t="s">
        <v>60</v>
      </c>
    </row>
    <row r="3" spans="2:30" hidden="1" x14ac:dyDescent="0.5">
      <c r="I3" s="151">
        <f>K3/K5</f>
        <v>0.29001419075360368</v>
      </c>
      <c r="J3" s="151"/>
      <c r="K3" s="152">
        <v>3883</v>
      </c>
      <c r="L3" s="152"/>
      <c r="M3" t="s">
        <v>64</v>
      </c>
      <c r="O3" s="52">
        <f>20000*I3</f>
        <v>5800.2838150720736</v>
      </c>
      <c r="P3" s="52"/>
      <c r="Q3" t="s">
        <v>64</v>
      </c>
      <c r="S3" s="52">
        <v>4177</v>
      </c>
      <c r="T3" s="52"/>
      <c r="U3" t="s">
        <v>50</v>
      </c>
      <c r="AA3" s="153" t="e">
        <f>-#REF!</f>
        <v>#REF!</v>
      </c>
    </row>
    <row r="4" spans="2:30" hidden="1" x14ac:dyDescent="0.5">
      <c r="I4" s="154">
        <f>K4/K5</f>
        <v>0.48002091268952124</v>
      </c>
      <c r="J4" s="154"/>
      <c r="K4" s="155">
        <v>6427</v>
      </c>
      <c r="L4" s="346"/>
      <c r="M4" t="s">
        <v>45</v>
      </c>
      <c r="O4" s="153">
        <f>20000*I4</f>
        <v>9600.4182537904253</v>
      </c>
      <c r="P4" s="347"/>
      <c r="Q4" t="s">
        <v>45</v>
      </c>
      <c r="S4" s="52">
        <v>12578</v>
      </c>
      <c r="T4" s="52"/>
      <c r="U4" t="s">
        <v>98</v>
      </c>
      <c r="AA4" s="52" t="e">
        <f>SUM(AA2:AA3)</f>
        <v>#REF!</v>
      </c>
    </row>
    <row r="5" spans="2:30" hidden="1" x14ac:dyDescent="0.5">
      <c r="I5" s="151">
        <f>SUM(I1:I4)</f>
        <v>1</v>
      </c>
      <c r="J5" s="151"/>
      <c r="K5" s="152">
        <f>SUM(K1:K4)</f>
        <v>13389</v>
      </c>
      <c r="L5" s="152"/>
      <c r="O5" s="52">
        <f>SUM(O1:O4)</f>
        <v>20000</v>
      </c>
      <c r="P5" s="52"/>
      <c r="S5" s="153">
        <v>4000</v>
      </c>
      <c r="T5" s="347"/>
      <c r="U5" t="s">
        <v>99</v>
      </c>
    </row>
    <row r="6" spans="2:30" ht="16.149999999999999" hidden="1" thickBot="1" x14ac:dyDescent="0.55000000000000004">
      <c r="S6" s="156">
        <f>SUM(S2:S5)</f>
        <v>120755</v>
      </c>
      <c r="T6" s="347"/>
      <c r="U6" t="s">
        <v>100</v>
      </c>
    </row>
    <row r="7" spans="2:30" x14ac:dyDescent="0.5">
      <c r="S7" s="347"/>
      <c r="T7" s="347"/>
    </row>
    <row r="8" spans="2:30" x14ac:dyDescent="0.5">
      <c r="S8" s="347"/>
      <c r="T8" s="347"/>
    </row>
    <row r="9" spans="2:30" x14ac:dyDescent="0.5">
      <c r="S9" s="347"/>
      <c r="T9" s="347"/>
    </row>
    <row r="10" spans="2:30" x14ac:dyDescent="0.5">
      <c r="S10" s="347"/>
      <c r="T10" s="347"/>
    </row>
    <row r="11" spans="2:30" x14ac:dyDescent="0.5">
      <c r="S11" s="347"/>
      <c r="T11" s="347"/>
    </row>
    <row r="12" spans="2:30" x14ac:dyDescent="0.5">
      <c r="S12" s="347"/>
      <c r="T12" s="347"/>
    </row>
    <row r="13" spans="2:30" x14ac:dyDescent="0.5">
      <c r="F13" s="150" t="s">
        <v>0</v>
      </c>
      <c r="S13" s="52"/>
      <c r="T13" s="52"/>
    </row>
    <row r="14" spans="2:30" x14ac:dyDescent="0.5">
      <c r="C14" s="451"/>
      <c r="D14" s="248"/>
      <c r="E14" s="248"/>
      <c r="I14"/>
      <c r="J14"/>
      <c r="K14"/>
      <c r="L14"/>
      <c r="Z14" s="345"/>
      <c r="AD14" s="402"/>
    </row>
    <row r="15" spans="2:30" ht="136.9" customHeight="1" x14ac:dyDescent="0.5">
      <c r="C15" s="157" t="s">
        <v>0</v>
      </c>
      <c r="D15" s="157"/>
      <c r="E15" s="533" t="s">
        <v>182</v>
      </c>
      <c r="F15" s="159" t="s">
        <v>328</v>
      </c>
      <c r="G15" s="450" t="s">
        <v>308</v>
      </c>
      <c r="H15" s="158"/>
      <c r="I15" s="160" t="s">
        <v>183</v>
      </c>
      <c r="J15" s="158"/>
      <c r="K15" s="161" t="s">
        <v>45</v>
      </c>
      <c r="L15" s="161"/>
      <c r="M15" s="163" t="s">
        <v>102</v>
      </c>
      <c r="N15" s="408"/>
      <c r="O15" s="163" t="s">
        <v>103</v>
      </c>
      <c r="P15" s="408"/>
      <c r="Q15" s="162" t="s">
        <v>96</v>
      </c>
      <c r="R15" s="408"/>
      <c r="S15" s="409" t="s">
        <v>267</v>
      </c>
      <c r="T15" s="408"/>
      <c r="U15" s="163" t="s">
        <v>305</v>
      </c>
      <c r="V15" s="408"/>
      <c r="W15" s="163" t="s">
        <v>306</v>
      </c>
      <c r="X15" s="435" t="s">
        <v>307</v>
      </c>
      <c r="Y15" s="435" t="s">
        <v>309</v>
      </c>
      <c r="Z15" s="409"/>
      <c r="AA15" s="162" t="s">
        <v>106</v>
      </c>
      <c r="AD15" s="548" t="s">
        <v>329</v>
      </c>
    </row>
    <row r="16" spans="2:30" s="167" customFormat="1" ht="24.4" customHeight="1" x14ac:dyDescent="0.5">
      <c r="B16" s="164" t="s">
        <v>107</v>
      </c>
      <c r="C16" s="165" t="s">
        <v>108</v>
      </c>
      <c r="D16" s="165"/>
      <c r="E16" s="534"/>
      <c r="G16" s="454"/>
      <c r="H16" s="467"/>
      <c r="I16" s="168"/>
      <c r="J16" s="166"/>
      <c r="K16" s="166"/>
      <c r="L16" s="380"/>
      <c r="N16" s="390"/>
      <c r="P16" s="390"/>
      <c r="R16" s="390"/>
      <c r="S16" s="467"/>
      <c r="T16" s="390"/>
      <c r="V16" s="390"/>
      <c r="X16" s="436"/>
      <c r="Y16" s="436"/>
      <c r="Z16" s="390"/>
      <c r="AD16" s="504"/>
    </row>
    <row r="17" spans="1:34" ht="15.4" x14ac:dyDescent="0.45">
      <c r="A17" s="170"/>
      <c r="B17" s="171">
        <v>4110</v>
      </c>
      <c r="C17" s="172" t="s">
        <v>279</v>
      </c>
      <c r="D17" s="172"/>
      <c r="E17" s="535">
        <v>59608</v>
      </c>
      <c r="F17" s="174">
        <f>128980+83461</f>
        <v>212441</v>
      </c>
      <c r="G17" s="455">
        <v>84360</v>
      </c>
      <c r="H17" s="468"/>
      <c r="I17" s="175">
        <f>+AA17</f>
        <v>141019</v>
      </c>
      <c r="J17" s="173"/>
      <c r="K17" s="176">
        <v>0</v>
      </c>
      <c r="L17" s="394"/>
      <c r="M17" s="177">
        <v>0</v>
      </c>
      <c r="N17" s="396"/>
      <c r="O17" s="177">
        <v>0</v>
      </c>
      <c r="P17" s="396"/>
      <c r="Q17" s="177">
        <v>0</v>
      </c>
      <c r="R17" s="396"/>
      <c r="S17" s="474">
        <v>98219</v>
      </c>
      <c r="T17" s="396">
        <f>S17/I17</f>
        <v>0.69649479857324192</v>
      </c>
      <c r="U17" s="177">
        <v>42800</v>
      </c>
      <c r="V17" s="396">
        <f>U17/I17</f>
        <v>0.30350520142675808</v>
      </c>
      <c r="W17" s="177">
        <v>0</v>
      </c>
      <c r="X17" s="437"/>
      <c r="Y17" s="437"/>
      <c r="Z17" s="396"/>
      <c r="AA17" s="174">
        <f>+K17+M17+O17+Q17+S17+U17+W17</f>
        <v>141019</v>
      </c>
      <c r="AC17" s="178">
        <f>+AA17</f>
        <v>141019</v>
      </c>
      <c r="AD17" s="505"/>
    </row>
    <row r="18" spans="1:34" ht="15.4" x14ac:dyDescent="0.45">
      <c r="A18" s="170"/>
      <c r="B18" s="171"/>
      <c r="C18" s="172" t="s">
        <v>278</v>
      </c>
      <c r="D18" s="172"/>
      <c r="E18" s="536">
        <f>'2020 Budget MH'!AA89</f>
        <v>996370</v>
      </c>
      <c r="F18" s="182">
        <v>767456</v>
      </c>
      <c r="G18" s="463">
        <v>577108</v>
      </c>
      <c r="H18" s="469"/>
      <c r="I18" s="219">
        <f>+AA18</f>
        <v>1041782.8006530399</v>
      </c>
      <c r="J18" s="173"/>
      <c r="K18" s="398">
        <v>0</v>
      </c>
      <c r="L18" s="394"/>
      <c r="M18" s="400">
        <v>0</v>
      </c>
      <c r="N18" s="396"/>
      <c r="O18" s="400">
        <v>0</v>
      </c>
      <c r="P18" s="396"/>
      <c r="Q18" s="400">
        <v>0</v>
      </c>
      <c r="R18" s="396"/>
      <c r="S18" s="526">
        <v>0</v>
      </c>
      <c r="T18" s="396" t="s">
        <v>0</v>
      </c>
      <c r="U18" s="400">
        <v>0</v>
      </c>
      <c r="V18" s="396"/>
      <c r="W18" s="400">
        <f>+W83</f>
        <v>1041782.8006530399</v>
      </c>
      <c r="X18" s="480">
        <v>1002834</v>
      </c>
      <c r="Y18" s="480">
        <f>26895+432589-24227</f>
        <v>435257</v>
      </c>
      <c r="Z18" s="396">
        <f>W18/I18</f>
        <v>1</v>
      </c>
      <c r="AA18" s="174">
        <f t="shared" ref="AA18:AA22" si="0">+K18+M18+O18+Q18+S18+U18+W18</f>
        <v>1041782.8006530399</v>
      </c>
      <c r="AC18" s="178"/>
      <c r="AD18" s="345"/>
    </row>
    <row r="19" spans="1:34" ht="15.4" x14ac:dyDescent="0.45">
      <c r="A19" s="170"/>
      <c r="B19" s="171"/>
      <c r="C19" s="172" t="s">
        <v>110</v>
      </c>
      <c r="D19" s="172"/>
      <c r="E19" s="536">
        <v>105166</v>
      </c>
      <c r="F19" s="182">
        <v>98894</v>
      </c>
      <c r="G19" s="463">
        <v>168041</v>
      </c>
      <c r="H19" s="469"/>
      <c r="I19" s="219">
        <v>117596</v>
      </c>
      <c r="J19" s="179"/>
      <c r="K19" s="398">
        <v>117596</v>
      </c>
      <c r="L19" s="394">
        <f>K19/I19</f>
        <v>1</v>
      </c>
      <c r="M19" s="400">
        <v>0</v>
      </c>
      <c r="N19" s="396"/>
      <c r="O19" s="400">
        <v>0</v>
      </c>
      <c r="P19" s="396"/>
      <c r="Q19" s="400">
        <v>0</v>
      </c>
      <c r="R19" s="396"/>
      <c r="S19" s="526">
        <v>0</v>
      </c>
      <c r="T19" s="396" t="s">
        <v>0</v>
      </c>
      <c r="U19" s="400">
        <v>0</v>
      </c>
      <c r="V19" s="396"/>
      <c r="W19" s="400">
        <v>0</v>
      </c>
      <c r="X19" s="441"/>
      <c r="Y19" s="441"/>
      <c r="Z19" s="396"/>
      <c r="AA19" s="174">
        <f t="shared" si="0"/>
        <v>117596</v>
      </c>
      <c r="AC19" s="178">
        <f>+AA19</f>
        <v>117596</v>
      </c>
      <c r="AD19" s="345"/>
    </row>
    <row r="20" spans="1:34" ht="15.4" x14ac:dyDescent="0.45">
      <c r="A20" s="170"/>
      <c r="B20" s="171"/>
      <c r="C20" s="172" t="s">
        <v>51</v>
      </c>
      <c r="D20" s="172"/>
      <c r="E20" s="536">
        <v>79276</v>
      </c>
      <c r="F20" s="182">
        <v>70146</v>
      </c>
      <c r="G20" s="463">
        <v>79276</v>
      </c>
      <c r="H20" s="469"/>
      <c r="I20" s="219">
        <f>+AA20</f>
        <v>68760</v>
      </c>
      <c r="J20" s="179"/>
      <c r="K20" s="398">
        <v>0</v>
      </c>
      <c r="L20" s="394"/>
      <c r="M20" s="400">
        <f>'Calculation '!K25</f>
        <v>15700</v>
      </c>
      <c r="N20" s="396">
        <f>M20/I20</f>
        <v>0.22833042466550321</v>
      </c>
      <c r="O20" s="400">
        <f>'Calculation '!K27</f>
        <v>14400</v>
      </c>
      <c r="P20" s="396">
        <f>O20/I20</f>
        <v>0.20942408376963351</v>
      </c>
      <c r="Q20" s="400">
        <f>'Calculation '!K26</f>
        <v>18700</v>
      </c>
      <c r="R20" s="396">
        <f>Q20/I20</f>
        <v>0.27196044211751019</v>
      </c>
      <c r="S20" s="526">
        <v>9160</v>
      </c>
      <c r="T20" s="396">
        <f>S20/I20</f>
        <v>0.13321698662012799</v>
      </c>
      <c r="U20" s="400">
        <v>10800</v>
      </c>
      <c r="V20" s="396">
        <f>U20/I20</f>
        <v>0.15706806282722513</v>
      </c>
      <c r="W20" s="400">
        <v>0</v>
      </c>
      <c r="X20" s="441"/>
      <c r="Y20" s="441"/>
      <c r="Z20" s="396"/>
      <c r="AA20" s="174">
        <f t="shared" si="0"/>
        <v>68760</v>
      </c>
      <c r="AC20" s="178">
        <f>+AA20</f>
        <v>68760</v>
      </c>
      <c r="AD20" s="345"/>
    </row>
    <row r="21" spans="1:34" ht="15.4" x14ac:dyDescent="0.45">
      <c r="A21" s="170"/>
      <c r="B21" s="171">
        <v>4120</v>
      </c>
      <c r="C21" s="172" t="s">
        <v>113</v>
      </c>
      <c r="D21" s="172"/>
      <c r="E21" s="536">
        <v>148000</v>
      </c>
      <c r="F21" s="182">
        <v>132464</v>
      </c>
      <c r="G21" s="463">
        <v>118164</v>
      </c>
      <c r="H21" s="469"/>
      <c r="I21" s="219">
        <v>120000</v>
      </c>
      <c r="J21" s="179"/>
      <c r="K21" s="398">
        <v>120000</v>
      </c>
      <c r="L21" s="394">
        <f>K21/I21</f>
        <v>1</v>
      </c>
      <c r="M21" s="400">
        <v>0</v>
      </c>
      <c r="N21" s="396"/>
      <c r="O21" s="400">
        <v>0</v>
      </c>
      <c r="P21" s="396"/>
      <c r="Q21" s="400">
        <v>0</v>
      </c>
      <c r="R21" s="396"/>
      <c r="S21" s="526">
        <v>0</v>
      </c>
      <c r="T21" s="396" t="s">
        <v>0</v>
      </c>
      <c r="U21" s="400">
        <v>0</v>
      </c>
      <c r="V21" s="396"/>
      <c r="W21" s="400">
        <v>0</v>
      </c>
      <c r="X21" s="441"/>
      <c r="Y21" s="441"/>
      <c r="Z21" s="396"/>
      <c r="AA21" s="174">
        <f t="shared" si="0"/>
        <v>120000</v>
      </c>
    </row>
    <row r="22" spans="1:34" ht="15.4" x14ac:dyDescent="0.45">
      <c r="A22" s="170"/>
      <c r="B22" s="171">
        <v>4150</v>
      </c>
      <c r="C22" s="172" t="s">
        <v>114</v>
      </c>
      <c r="D22" s="172"/>
      <c r="E22" s="536">
        <v>514700</v>
      </c>
      <c r="F22" s="182">
        <v>492531</v>
      </c>
      <c r="G22" s="463">
        <v>428909</v>
      </c>
      <c r="H22" s="469"/>
      <c r="I22" s="219">
        <v>442200</v>
      </c>
      <c r="J22" s="179"/>
      <c r="K22" s="398">
        <v>0</v>
      </c>
      <c r="L22" s="394"/>
      <c r="M22" s="398">
        <v>142300</v>
      </c>
      <c r="N22" s="394">
        <f>M22/I22</f>
        <v>0.32180009045680685</v>
      </c>
      <c r="O22" s="398">
        <v>130600</v>
      </c>
      <c r="P22" s="394">
        <f>O22/I22</f>
        <v>0.29534147444595205</v>
      </c>
      <c r="Q22" s="398">
        <f>10000+159300</f>
        <v>169300</v>
      </c>
      <c r="R22" s="394">
        <f>Q22/I22</f>
        <v>0.38285843509724105</v>
      </c>
      <c r="S22" s="527">
        <v>0</v>
      </c>
      <c r="T22" s="396" t="s">
        <v>0</v>
      </c>
      <c r="U22" s="402">
        <v>0</v>
      </c>
      <c r="V22" s="407"/>
      <c r="W22" s="402">
        <v>0</v>
      </c>
      <c r="X22" s="481"/>
      <c r="Y22" s="481"/>
      <c r="Z22" s="407"/>
      <c r="AA22" s="174">
        <f t="shared" si="0"/>
        <v>442200</v>
      </c>
    </row>
    <row r="23" spans="1:34" ht="15.4" x14ac:dyDescent="0.45">
      <c r="A23" s="170"/>
      <c r="B23" s="171">
        <v>4990</v>
      </c>
      <c r="C23" s="483" t="s">
        <v>311</v>
      </c>
      <c r="D23" s="172"/>
      <c r="E23" s="536">
        <v>0</v>
      </c>
      <c r="F23" s="188">
        <v>695</v>
      </c>
      <c r="G23" s="501">
        <v>211</v>
      </c>
      <c r="H23" s="502"/>
      <c r="I23" s="219">
        <v>200</v>
      </c>
      <c r="J23" s="179"/>
      <c r="K23" s="399">
        <v>200</v>
      </c>
      <c r="L23" s="397"/>
      <c r="M23" s="401">
        <v>0</v>
      </c>
      <c r="N23" s="406"/>
      <c r="O23" s="401">
        <v>0</v>
      </c>
      <c r="P23" s="406"/>
      <c r="Q23" s="401">
        <v>0</v>
      </c>
      <c r="R23" s="406"/>
      <c r="S23" s="528">
        <v>0</v>
      </c>
      <c r="T23" s="396" t="s">
        <v>0</v>
      </c>
      <c r="U23" s="401">
        <v>0</v>
      </c>
      <c r="V23" s="406"/>
      <c r="W23" s="401">
        <v>0</v>
      </c>
      <c r="X23" s="482"/>
      <c r="Y23" s="482"/>
      <c r="Z23" s="406"/>
      <c r="AA23" s="174">
        <v>200</v>
      </c>
      <c r="AC23" s="189"/>
      <c r="AG23" s="7"/>
      <c r="AH23" s="7"/>
    </row>
    <row r="24" spans="1:34" thickBot="1" x14ac:dyDescent="0.5">
      <c r="A24" s="170"/>
      <c r="B24" s="171"/>
      <c r="C24" s="190" t="s">
        <v>116</v>
      </c>
      <c r="D24" s="190"/>
      <c r="E24" s="537">
        <f>SUM(E17:E23)</f>
        <v>1903120</v>
      </c>
      <c r="F24" s="192">
        <f>SUM(F17:F23)</f>
        <v>1774627</v>
      </c>
      <c r="G24" s="457">
        <f>SUM(G17:G23)</f>
        <v>1456069</v>
      </c>
      <c r="H24" s="471"/>
      <c r="I24" s="193">
        <f>SUM(I17:I23)</f>
        <v>1931557.8006530399</v>
      </c>
      <c r="J24" s="191"/>
      <c r="K24" s="194">
        <f>SUM(K17:K23)</f>
        <v>237796</v>
      </c>
      <c r="L24" s="381"/>
      <c r="M24" s="194">
        <f>SUM(M17:M23)</f>
        <v>158000</v>
      </c>
      <c r="N24" s="381"/>
      <c r="O24" s="194">
        <f>SUM(O17:O23)</f>
        <v>145000</v>
      </c>
      <c r="P24" s="381"/>
      <c r="Q24" s="194">
        <f>SUM(Q17:Q23)</f>
        <v>188000</v>
      </c>
      <c r="R24" s="381"/>
      <c r="S24" s="194">
        <f>SUM(S17:S23)</f>
        <v>107379</v>
      </c>
      <c r="T24" s="381"/>
      <c r="U24" s="194">
        <f>SUM(U17:U23)</f>
        <v>53600</v>
      </c>
      <c r="V24" s="381"/>
      <c r="W24" s="194">
        <f>SUM(W17:W23)</f>
        <v>1041782.8006530399</v>
      </c>
      <c r="X24" s="438">
        <f>SUM(X17:X23)</f>
        <v>1002834</v>
      </c>
      <c r="Y24" s="438">
        <f t="shared" ref="Y24" si="1">SUM(Y17:Y23)</f>
        <v>435257</v>
      </c>
      <c r="Z24" s="381"/>
      <c r="AA24" s="194">
        <f>SUM(AA17:AA23)</f>
        <v>1931557.8006530399</v>
      </c>
      <c r="AC24" s="52">
        <f>SUM(AC17:AC23)</f>
        <v>327375</v>
      </c>
      <c r="AD24" s="52">
        <f>+K24+M24+O24+Q24+S24+U24+W24</f>
        <v>1931557.8006530399</v>
      </c>
      <c r="AG24" s="7"/>
      <c r="AH24" s="7"/>
    </row>
    <row r="25" spans="1:34" thickTop="1" x14ac:dyDescent="0.45">
      <c r="A25" s="170"/>
      <c r="B25" s="171"/>
      <c r="C25" s="172"/>
      <c r="D25" s="172"/>
      <c r="E25" s="538"/>
      <c r="F25" s="196"/>
      <c r="G25" s="458"/>
      <c r="H25" s="472"/>
      <c r="I25" s="197"/>
      <c r="J25" s="195"/>
      <c r="K25" s="195"/>
      <c r="L25" s="382"/>
      <c r="M25" s="178"/>
      <c r="N25" s="391"/>
      <c r="O25" s="178"/>
      <c r="P25" s="391"/>
      <c r="Q25" s="178"/>
      <c r="R25" s="391"/>
      <c r="S25" s="248"/>
      <c r="T25" s="393"/>
      <c r="V25" s="393"/>
      <c r="X25" s="439"/>
      <c r="Y25" s="439"/>
      <c r="Z25" s="393"/>
      <c r="AA25" s="198" t="s">
        <v>0</v>
      </c>
      <c r="AC25" s="189">
        <v>-164774</v>
      </c>
      <c r="AG25" s="7"/>
      <c r="AH25" s="7"/>
    </row>
    <row r="26" spans="1:34" ht="15.4" x14ac:dyDescent="0.45">
      <c r="A26" s="170"/>
      <c r="B26" s="171"/>
      <c r="C26" s="165" t="s">
        <v>117</v>
      </c>
      <c r="D26" s="165"/>
      <c r="E26" s="538"/>
      <c r="F26" s="196"/>
      <c r="G26" s="458"/>
      <c r="H26" s="472"/>
      <c r="I26" s="197"/>
      <c r="J26" s="195"/>
      <c r="K26" s="195"/>
      <c r="L26" s="382"/>
      <c r="M26" s="178"/>
      <c r="N26" s="391"/>
      <c r="O26" s="178"/>
      <c r="P26" s="391"/>
      <c r="Q26" s="178"/>
      <c r="R26" s="391"/>
      <c r="S26" s="248"/>
      <c r="T26" s="393"/>
      <c r="V26" s="393"/>
      <c r="X26" s="439"/>
      <c r="Y26" s="439"/>
      <c r="Z26" s="393"/>
      <c r="AA26" s="198" t="s">
        <v>0</v>
      </c>
      <c r="AC26" s="52">
        <f>SUM(AC24:AC25)</f>
        <v>162601</v>
      </c>
      <c r="AG26" s="7"/>
      <c r="AH26" s="7"/>
    </row>
    <row r="27" spans="1:34" ht="15.4" x14ac:dyDescent="0.45">
      <c r="A27" s="170"/>
      <c r="B27" s="171">
        <v>6000</v>
      </c>
      <c r="C27" s="172" t="s">
        <v>118</v>
      </c>
      <c r="D27" s="172"/>
      <c r="E27" s="535">
        <v>424250</v>
      </c>
      <c r="F27" s="174">
        <v>288930</v>
      </c>
      <c r="G27" s="455">
        <f>(F27/7)*12</f>
        <v>495308.57142857136</v>
      </c>
      <c r="H27" s="468"/>
      <c r="I27" s="175">
        <f>'2021 Salaries'!G18</f>
        <v>430033.71240000002</v>
      </c>
      <c r="J27" s="173"/>
      <c r="K27" s="176">
        <v>80000</v>
      </c>
      <c r="L27" s="394">
        <f t="shared" ref="L27:L32" si="2">K27/I27</f>
        <v>0.18603192655181236</v>
      </c>
      <c r="M27" s="174">
        <v>0</v>
      </c>
      <c r="N27" s="396"/>
      <c r="O27" s="174">
        <v>0</v>
      </c>
      <c r="P27" s="396"/>
      <c r="Q27" s="174">
        <v>0</v>
      </c>
      <c r="R27" s="396"/>
      <c r="S27" s="468">
        <f>'2021 Salaries'!G46</f>
        <v>61799.938200000004</v>
      </c>
      <c r="T27" s="396">
        <f t="shared" ref="T27:T32" si="3">S27/I27</f>
        <v>0.14370951955161179</v>
      </c>
      <c r="U27" s="174">
        <v>0</v>
      </c>
      <c r="V27" s="396"/>
      <c r="W27" s="174">
        <f>'2021 Salaries'!G37+20000</f>
        <v>288233.77419999999</v>
      </c>
      <c r="X27" s="441">
        <v>228927</v>
      </c>
      <c r="Y27" s="441">
        <v>162564</v>
      </c>
      <c r="Z27" s="396">
        <f t="shared" ref="Z27:Z32" si="4">W27/I27</f>
        <v>0.67025855389657574</v>
      </c>
      <c r="AA27" s="174">
        <f>+K27+M27+O27+Q27+S27+U27+W27</f>
        <v>430033.71239999996</v>
      </c>
      <c r="AG27" s="7"/>
      <c r="AH27" s="7"/>
    </row>
    <row r="28" spans="1:34" ht="15.4" x14ac:dyDescent="0.45">
      <c r="A28" s="170"/>
      <c r="B28" s="171">
        <v>6100</v>
      </c>
      <c r="C28" s="172" t="s">
        <v>15</v>
      </c>
      <c r="D28" s="172"/>
      <c r="E28" s="536">
        <v>23274</v>
      </c>
      <c r="F28" s="182">
        <v>20647</v>
      </c>
      <c r="G28" s="463">
        <f t="shared" ref="G28:G32" si="5">(F28/7)*12</f>
        <v>35394.857142857145</v>
      </c>
      <c r="H28" s="469"/>
      <c r="I28" s="219">
        <f>'2021 Salaries'!H18</f>
        <v>32897.578998599995</v>
      </c>
      <c r="J28" s="179"/>
      <c r="K28" s="179">
        <v>6120</v>
      </c>
      <c r="L28" s="394">
        <f t="shared" si="2"/>
        <v>0.18603192655181239</v>
      </c>
      <c r="M28" s="180">
        <v>0</v>
      </c>
      <c r="N28" s="396"/>
      <c r="O28" s="182">
        <v>0</v>
      </c>
      <c r="P28" s="396"/>
      <c r="Q28" s="182">
        <v>0</v>
      </c>
      <c r="R28" s="396"/>
      <c r="S28" s="469">
        <f>'2021 Salaries'!H46</f>
        <v>4727.6952723000004</v>
      </c>
      <c r="T28" s="396">
        <f t="shared" si="3"/>
        <v>0.14370951955161182</v>
      </c>
      <c r="U28" s="182">
        <v>0</v>
      </c>
      <c r="V28" s="396"/>
      <c r="W28" s="182">
        <f>'2021 Salaries'!H37+1530</f>
        <v>22049.883726299999</v>
      </c>
      <c r="X28" s="441">
        <v>16978</v>
      </c>
      <c r="Y28" s="441">
        <v>12421</v>
      </c>
      <c r="Z28" s="396">
        <f t="shared" si="4"/>
        <v>0.67025855389657596</v>
      </c>
      <c r="AA28" s="174">
        <f t="shared" ref="AA28:AA32" si="6">+K28+M28+O28+Q28+S28+U28+W28</f>
        <v>32897.578998600002</v>
      </c>
      <c r="AG28" s="7"/>
      <c r="AH28" s="7"/>
    </row>
    <row r="29" spans="1:34" ht="15.4" x14ac:dyDescent="0.45">
      <c r="A29" s="170"/>
      <c r="B29" s="171">
        <v>6110</v>
      </c>
      <c r="C29" s="172" t="s">
        <v>120</v>
      </c>
      <c r="D29" s="172"/>
      <c r="E29" s="536">
        <v>4210</v>
      </c>
      <c r="F29" s="182">
        <v>3680</v>
      </c>
      <c r="G29" s="463">
        <f t="shared" si="5"/>
        <v>6308.5714285714275</v>
      </c>
      <c r="H29" s="469"/>
      <c r="I29" s="219">
        <f>'2021 Salaries'!J18</f>
        <v>5021.4500000000007</v>
      </c>
      <c r="J29" s="179"/>
      <c r="K29" s="179">
        <v>574</v>
      </c>
      <c r="L29" s="394">
        <f t="shared" si="2"/>
        <v>0.11430961176552588</v>
      </c>
      <c r="M29" s="180">
        <v>0</v>
      </c>
      <c r="N29" s="396"/>
      <c r="O29" s="182">
        <v>0</v>
      </c>
      <c r="P29" s="396"/>
      <c r="Q29" s="182">
        <v>0</v>
      </c>
      <c r="R29" s="396"/>
      <c r="S29" s="469">
        <f>'2021 Salaries'!J46</f>
        <v>717.35</v>
      </c>
      <c r="T29" s="396">
        <f t="shared" si="3"/>
        <v>0.14285714285714285</v>
      </c>
      <c r="U29" s="182">
        <v>0</v>
      </c>
      <c r="V29" s="396"/>
      <c r="W29" s="182">
        <f>'2021 Salaries'!J37+143</f>
        <v>3729.75</v>
      </c>
      <c r="X29" s="441">
        <v>1743</v>
      </c>
      <c r="Y29" s="441">
        <v>2825</v>
      </c>
      <c r="Z29" s="396">
        <f t="shared" si="4"/>
        <v>0.74276354439454728</v>
      </c>
      <c r="AA29" s="174">
        <f t="shared" si="6"/>
        <v>5021.1000000000004</v>
      </c>
    </row>
    <row r="30" spans="1:34" ht="15.4" x14ac:dyDescent="0.45">
      <c r="A30" s="170"/>
      <c r="B30" s="171">
        <v>6200</v>
      </c>
      <c r="C30" s="199" t="s">
        <v>121</v>
      </c>
      <c r="D30" s="199"/>
      <c r="E30" s="536">
        <v>28402</v>
      </c>
      <c r="F30" s="182">
        <v>35077</v>
      </c>
      <c r="G30" s="463">
        <f t="shared" si="5"/>
        <v>60132</v>
      </c>
      <c r="H30" s="469"/>
      <c r="I30" s="219">
        <f>'2021 Salaries'!N18</f>
        <v>53070.867200000001</v>
      </c>
      <c r="J30" s="179"/>
      <c r="K30" s="179">
        <v>0</v>
      </c>
      <c r="L30" s="394">
        <f t="shared" si="2"/>
        <v>0</v>
      </c>
      <c r="M30" s="180">
        <v>0</v>
      </c>
      <c r="N30" s="396"/>
      <c r="O30" s="182">
        <v>0</v>
      </c>
      <c r="P30" s="396"/>
      <c r="Q30" s="182">
        <v>0</v>
      </c>
      <c r="R30" s="396"/>
      <c r="S30" s="469">
        <f>'2021 Salaries'!M46</f>
        <v>29474.411199999999</v>
      </c>
      <c r="T30" s="396">
        <f t="shared" si="3"/>
        <v>0.55537836020135734</v>
      </c>
      <c r="U30" s="182">
        <v>0</v>
      </c>
      <c r="V30" s="396"/>
      <c r="W30" s="182">
        <f>'2021 Salaries'!M37</f>
        <v>23596.455999999998</v>
      </c>
      <c r="X30" s="441">
        <v>12310</v>
      </c>
      <c r="Y30" s="441">
        <v>12878</v>
      </c>
      <c r="Z30" s="396">
        <f t="shared" si="4"/>
        <v>0.44462163979864261</v>
      </c>
      <c r="AA30" s="174">
        <f t="shared" si="6"/>
        <v>53070.867199999993</v>
      </c>
    </row>
    <row r="31" spans="1:34" ht="15.4" x14ac:dyDescent="0.45">
      <c r="A31" s="170"/>
      <c r="B31" s="171">
        <v>6210</v>
      </c>
      <c r="C31" s="199" t="s">
        <v>122</v>
      </c>
      <c r="D31" s="199"/>
      <c r="E31" s="536">
        <v>43204</v>
      </c>
      <c r="F31" s="182">
        <v>38875</v>
      </c>
      <c r="G31" s="463">
        <f t="shared" si="5"/>
        <v>66642.857142857145</v>
      </c>
      <c r="H31" s="469"/>
      <c r="I31" s="219">
        <f>'2021 Salaries'!I18</f>
        <v>61064.787160799991</v>
      </c>
      <c r="J31" s="179"/>
      <c r="K31" s="179">
        <v>11360</v>
      </c>
      <c r="L31" s="394">
        <f t="shared" si="2"/>
        <v>0.18603192655181239</v>
      </c>
      <c r="M31" s="180">
        <v>0</v>
      </c>
      <c r="N31" s="396"/>
      <c r="O31" s="182">
        <v>0</v>
      </c>
      <c r="P31" s="396"/>
      <c r="Q31" s="182">
        <v>0</v>
      </c>
      <c r="R31" s="396"/>
      <c r="S31" s="469">
        <f>'2021 Salaries'!I46</f>
        <v>8775.5912243999992</v>
      </c>
      <c r="T31" s="396">
        <f t="shared" si="3"/>
        <v>0.14370951955161179</v>
      </c>
      <c r="U31" s="182">
        <v>0</v>
      </c>
      <c r="V31" s="396"/>
      <c r="W31" s="182">
        <f>'2021 Salaries'!I37+2840</f>
        <v>40929.195936399999</v>
      </c>
      <c r="X31" s="441">
        <v>30982</v>
      </c>
      <c r="Y31" s="441">
        <v>22176</v>
      </c>
      <c r="Z31" s="396">
        <f t="shared" si="4"/>
        <v>0.67025855389657596</v>
      </c>
      <c r="AA31" s="174">
        <f t="shared" si="6"/>
        <v>61064.787160799999</v>
      </c>
    </row>
    <row r="32" spans="1:34" ht="15.4" x14ac:dyDescent="0.45">
      <c r="A32" s="170"/>
      <c r="B32" s="171">
        <v>6215</v>
      </c>
      <c r="C32" s="199" t="s">
        <v>123</v>
      </c>
      <c r="D32" s="199"/>
      <c r="E32" s="536">
        <v>640</v>
      </c>
      <c r="F32" s="188">
        <v>751</v>
      </c>
      <c r="G32" s="463">
        <f t="shared" si="5"/>
        <v>1287.4285714285716</v>
      </c>
      <c r="H32" s="469"/>
      <c r="I32" s="219">
        <f>'2021 Salaries'!K18</f>
        <v>1161.0910234799999</v>
      </c>
      <c r="J32" s="179"/>
      <c r="K32" s="186">
        <v>216</v>
      </c>
      <c r="L32" s="394">
        <f t="shared" si="2"/>
        <v>0.18603192655181239</v>
      </c>
      <c r="M32" s="185">
        <v>0</v>
      </c>
      <c r="N32" s="405"/>
      <c r="O32" s="188">
        <v>0</v>
      </c>
      <c r="P32" s="405"/>
      <c r="Q32" s="188">
        <v>0</v>
      </c>
      <c r="R32" s="405"/>
      <c r="S32" s="529">
        <f>'2021 Salaries'!K46</f>
        <v>166.85983314000001</v>
      </c>
      <c r="T32" s="396">
        <f t="shared" si="3"/>
        <v>0.14370951955161182</v>
      </c>
      <c r="U32" s="188">
        <v>0</v>
      </c>
      <c r="V32" s="405"/>
      <c r="W32" s="188">
        <f>'2021 Salaries'!K37+54</f>
        <v>778.2311903399999</v>
      </c>
      <c r="X32" s="442">
        <v>1972</v>
      </c>
      <c r="Y32" s="442">
        <v>386</v>
      </c>
      <c r="Z32" s="396">
        <f t="shared" si="4"/>
        <v>0.67025855389657585</v>
      </c>
      <c r="AA32" s="174">
        <f t="shared" si="6"/>
        <v>1161.0910234799999</v>
      </c>
    </row>
    <row r="33" spans="1:30" s="207" customFormat="1" ht="18" x14ac:dyDescent="0.55000000000000004">
      <c r="A33" s="201"/>
      <c r="B33" s="171"/>
      <c r="C33" s="165" t="s">
        <v>124</v>
      </c>
      <c r="D33" s="165"/>
      <c r="E33" s="539">
        <f>SUM(E27:E32)</f>
        <v>523980</v>
      </c>
      <c r="F33" s="227">
        <f>SUM(F27:F32)</f>
        <v>387960</v>
      </c>
      <c r="G33" s="464">
        <f>SUM(G27:G32)</f>
        <v>665074.28571428568</v>
      </c>
      <c r="H33" s="473"/>
      <c r="I33" s="225">
        <f>SUM(I27:I32)</f>
        <v>583249.48678288003</v>
      </c>
      <c r="J33" s="224"/>
      <c r="K33" s="206">
        <f>SUM(K27:K32)</f>
        <v>98270</v>
      </c>
      <c r="L33" s="383"/>
      <c r="M33" s="206">
        <f>SUM(M27:M32)</f>
        <v>0</v>
      </c>
      <c r="N33" s="383"/>
      <c r="O33" s="206">
        <f>SUM(O27:O32)</f>
        <v>0</v>
      </c>
      <c r="P33" s="383"/>
      <c r="Q33" s="206">
        <f>SUM(Q27:Q32)</f>
        <v>0</v>
      </c>
      <c r="R33" s="383"/>
      <c r="S33" s="206">
        <f>SUM(S27:S32)</f>
        <v>105661.84572984</v>
      </c>
      <c r="T33" s="383"/>
      <c r="U33" s="206">
        <f>SUM(U27:U32)</f>
        <v>0</v>
      </c>
      <c r="V33" s="383"/>
      <c r="W33" s="206">
        <f>SUM(W27:W32)</f>
        <v>379317.29105303995</v>
      </c>
      <c r="X33" s="443">
        <f>SUM(X27:X32)</f>
        <v>292912</v>
      </c>
      <c r="Y33" s="443">
        <f>SUM(Y27:Y32)</f>
        <v>213250</v>
      </c>
      <c r="Z33" s="383"/>
      <c r="AA33" s="432">
        <f>SUM(AA27:AA32)</f>
        <v>583249.13678287994</v>
      </c>
      <c r="AD33" s="52">
        <f>+K33+M33+O33+Q33+S33+U33+W33</f>
        <v>583249.13678287994</v>
      </c>
    </row>
    <row r="34" spans="1:30" ht="15.4" x14ac:dyDescent="0.45">
      <c r="A34" s="170"/>
      <c r="B34" s="171"/>
      <c r="C34" s="208"/>
      <c r="D34" s="208"/>
      <c r="E34" s="540"/>
      <c r="F34" s="196"/>
      <c r="G34" s="458"/>
      <c r="H34" s="472"/>
      <c r="I34" s="210"/>
      <c r="J34" s="209"/>
      <c r="K34" s="211"/>
      <c r="L34" s="384"/>
      <c r="M34" s="52"/>
      <c r="N34" s="392"/>
      <c r="O34" s="52"/>
      <c r="P34" s="392"/>
      <c r="Q34" s="52"/>
      <c r="R34" s="392"/>
      <c r="S34" s="530"/>
      <c r="T34" s="392"/>
      <c r="U34" s="52"/>
      <c r="V34" s="392"/>
      <c r="W34" s="52"/>
      <c r="X34" s="444"/>
      <c r="Y34" s="444"/>
      <c r="Z34" s="392"/>
      <c r="AA34" s="198" t="s">
        <v>0</v>
      </c>
    </row>
    <row r="35" spans="1:30" ht="15.4" x14ac:dyDescent="0.45">
      <c r="A35" s="170"/>
      <c r="B35" s="171"/>
      <c r="C35" s="172"/>
      <c r="D35" s="172"/>
      <c r="E35" s="538"/>
      <c r="F35" s="196"/>
      <c r="G35" s="458"/>
      <c r="H35" s="472"/>
      <c r="I35" s="197"/>
      <c r="J35" s="195"/>
      <c r="K35" s="212"/>
      <c r="L35" s="385"/>
      <c r="M35" s="52"/>
      <c r="N35" s="392"/>
      <c r="O35" s="52"/>
      <c r="P35" s="392"/>
      <c r="Q35" s="52"/>
      <c r="R35" s="392"/>
      <c r="S35" s="530"/>
      <c r="T35" s="392"/>
      <c r="U35" s="52"/>
      <c r="V35" s="392"/>
      <c r="W35" s="52"/>
      <c r="X35" s="444"/>
      <c r="Y35" s="444"/>
      <c r="Z35" s="392"/>
      <c r="AA35" s="198" t="s">
        <v>0</v>
      </c>
    </row>
    <row r="36" spans="1:30" ht="15.4" x14ac:dyDescent="0.45">
      <c r="A36" s="170"/>
      <c r="B36" s="171">
        <v>6300</v>
      </c>
      <c r="C36" s="213" t="s">
        <v>125</v>
      </c>
      <c r="D36" s="213"/>
      <c r="E36" s="535">
        <v>12000</v>
      </c>
      <c r="F36" s="174">
        <v>16910</v>
      </c>
      <c r="G36" s="455">
        <f>(F36/7)*12</f>
        <v>28988.571428571428</v>
      </c>
      <c r="H36" s="468"/>
      <c r="I36" s="175">
        <v>12000</v>
      </c>
      <c r="J36" s="176"/>
      <c r="K36" s="173">
        <f t="shared" ref="K36:K41" si="7">I36*L36</f>
        <v>12000</v>
      </c>
      <c r="L36" s="394">
        <v>1</v>
      </c>
      <c r="M36" s="174">
        <v>0</v>
      </c>
      <c r="N36" s="396"/>
      <c r="O36" s="174">
        <v>0</v>
      </c>
      <c r="P36" s="396"/>
      <c r="Q36" s="174">
        <v>0</v>
      </c>
      <c r="R36" s="396"/>
      <c r="S36" s="468">
        <v>0</v>
      </c>
      <c r="T36" s="396"/>
      <c r="U36" s="174">
        <v>0</v>
      </c>
      <c r="V36" s="396"/>
      <c r="W36" s="174">
        <v>0</v>
      </c>
      <c r="X36" s="441"/>
      <c r="Y36" s="441"/>
      <c r="Z36" s="396"/>
      <c r="AA36" s="174">
        <f>+K36+M36+O36+Q36+S36+U36+W36</f>
        <v>12000</v>
      </c>
      <c r="AD36" s="52"/>
    </row>
    <row r="37" spans="1:30" ht="15.4" x14ac:dyDescent="0.45">
      <c r="A37" s="170"/>
      <c r="B37" s="171">
        <v>6310</v>
      </c>
      <c r="C37" s="213" t="s">
        <v>126</v>
      </c>
      <c r="D37" s="213"/>
      <c r="E37" s="541">
        <v>20000</v>
      </c>
      <c r="F37" s="180">
        <v>23117</v>
      </c>
      <c r="G37" s="456">
        <v>6000</v>
      </c>
      <c r="H37" s="470"/>
      <c r="I37" s="181">
        <v>33000</v>
      </c>
      <c r="J37" s="179"/>
      <c r="K37" s="183">
        <f t="shared" si="7"/>
        <v>18150</v>
      </c>
      <c r="L37" s="394">
        <v>0.55000000000000004</v>
      </c>
      <c r="M37" s="182">
        <v>0</v>
      </c>
      <c r="N37" s="396"/>
      <c r="O37" s="182">
        <v>0</v>
      </c>
      <c r="P37" s="396"/>
      <c r="Q37" s="182">
        <v>0</v>
      </c>
      <c r="R37" s="396"/>
      <c r="S37" s="469">
        <f>T37*I37</f>
        <v>5280</v>
      </c>
      <c r="T37" s="396">
        <v>0.16</v>
      </c>
      <c r="U37" s="182">
        <v>0</v>
      </c>
      <c r="V37" s="396"/>
      <c r="W37" s="182">
        <f>Z37*I37</f>
        <v>9570</v>
      </c>
      <c r="X37" s="441">
        <v>4699</v>
      </c>
      <c r="Y37" s="441"/>
      <c r="Z37" s="396">
        <v>0.28999999999999998</v>
      </c>
      <c r="AA37" s="174">
        <f t="shared" ref="AA37:AA47" si="8">+K37+M37+O37+Q37+S37+U37+W37</f>
        <v>33000</v>
      </c>
      <c r="AD37" s="52"/>
    </row>
    <row r="38" spans="1:30" ht="15.4" x14ac:dyDescent="0.45">
      <c r="A38" s="170"/>
      <c r="B38" s="171">
        <v>6320</v>
      </c>
      <c r="C38" s="199" t="s">
        <v>127</v>
      </c>
      <c r="D38" s="199"/>
      <c r="E38" s="541">
        <v>48500</v>
      </c>
      <c r="F38" s="180">
        <v>43798</v>
      </c>
      <c r="G38" s="456">
        <f t="shared" ref="G38:G47" si="9">(F38/7)*12</f>
        <v>75082.28571428571</v>
      </c>
      <c r="H38" s="470"/>
      <c r="I38" s="181">
        <f>(2125*12)+(2400*12)</f>
        <v>54300</v>
      </c>
      <c r="J38" s="179"/>
      <c r="K38" s="183">
        <f t="shared" si="7"/>
        <v>27432.36</v>
      </c>
      <c r="L38" s="394">
        <v>0.50519999999999998</v>
      </c>
      <c r="M38" s="182">
        <v>0</v>
      </c>
      <c r="N38" s="396"/>
      <c r="O38" s="182">
        <v>0</v>
      </c>
      <c r="P38" s="396"/>
      <c r="Q38" s="182">
        <v>0</v>
      </c>
      <c r="R38" s="396"/>
      <c r="S38" s="469">
        <v>0</v>
      </c>
      <c r="T38" s="396"/>
      <c r="U38" s="182">
        <v>0</v>
      </c>
      <c r="V38" s="396"/>
      <c r="W38" s="182">
        <f>Z38*I38</f>
        <v>26867.64</v>
      </c>
      <c r="X38" s="441">
        <v>36509</v>
      </c>
      <c r="Y38" s="441">
        <v>21123</v>
      </c>
      <c r="Z38" s="396">
        <v>0.49480000000000002</v>
      </c>
      <c r="AA38" s="174">
        <f t="shared" si="8"/>
        <v>54300</v>
      </c>
      <c r="AD38" s="52"/>
    </row>
    <row r="39" spans="1:30" ht="15.4" x14ac:dyDescent="0.45">
      <c r="A39" s="170"/>
      <c r="B39" s="171">
        <v>6330</v>
      </c>
      <c r="C39" s="483" t="s">
        <v>312</v>
      </c>
      <c r="D39" s="172"/>
      <c r="E39" s="541">
        <v>36000</v>
      </c>
      <c r="F39" s="180">
        <v>39000</v>
      </c>
      <c r="G39" s="456">
        <f t="shared" si="9"/>
        <v>66857.142857142855</v>
      </c>
      <c r="H39" s="470"/>
      <c r="I39" s="181">
        <f>3000*12</f>
        <v>36000</v>
      </c>
      <c r="J39" s="179"/>
      <c r="K39" s="183">
        <f t="shared" si="7"/>
        <v>36000</v>
      </c>
      <c r="L39" s="396">
        <v>1</v>
      </c>
      <c r="M39" s="182">
        <v>0</v>
      </c>
      <c r="N39" s="396"/>
      <c r="O39" s="182">
        <v>0</v>
      </c>
      <c r="P39" s="396"/>
      <c r="Q39" s="182">
        <v>0</v>
      </c>
      <c r="R39" s="396"/>
      <c r="S39" s="469">
        <v>0</v>
      </c>
      <c r="T39" s="396"/>
      <c r="U39" s="182">
        <v>0</v>
      </c>
      <c r="V39" s="396"/>
      <c r="W39" s="182">
        <v>0</v>
      </c>
      <c r="X39" s="441"/>
      <c r="Y39" s="441"/>
      <c r="Z39" s="396"/>
      <c r="AA39" s="174">
        <f t="shared" si="8"/>
        <v>36000</v>
      </c>
      <c r="AD39" s="52"/>
    </row>
    <row r="40" spans="1:30" ht="15.4" x14ac:dyDescent="0.45">
      <c r="A40" s="170"/>
      <c r="B40" s="171">
        <v>6340</v>
      </c>
      <c r="C40" s="172" t="s">
        <v>129</v>
      </c>
      <c r="D40" s="172"/>
      <c r="E40" s="541">
        <v>5000</v>
      </c>
      <c r="F40" s="180">
        <v>4246</v>
      </c>
      <c r="G40" s="456">
        <f t="shared" si="9"/>
        <v>7278.8571428571431</v>
      </c>
      <c r="H40" s="470"/>
      <c r="I40" s="181">
        <f>'2021 Salaries'!L18</f>
        <v>5600.1399999999994</v>
      </c>
      <c r="J40" s="179"/>
      <c r="K40" s="183">
        <f t="shared" si="7"/>
        <v>1400.0349999999999</v>
      </c>
      <c r="L40" s="394">
        <v>0.25</v>
      </c>
      <c r="M40" s="182">
        <v>0</v>
      </c>
      <c r="N40" s="396"/>
      <c r="O40" s="182">
        <v>0</v>
      </c>
      <c r="P40" s="396"/>
      <c r="Q40" s="182">
        <v>0</v>
      </c>
      <c r="R40" s="396"/>
      <c r="S40" s="469">
        <f>T40*I40</f>
        <v>616.01539999999989</v>
      </c>
      <c r="T40" s="396">
        <v>0.11</v>
      </c>
      <c r="U40" s="182">
        <v>0</v>
      </c>
      <c r="V40" s="396"/>
      <c r="W40" s="182">
        <f>Z40*I40</f>
        <v>3584.0895999999998</v>
      </c>
      <c r="X40" s="441">
        <v>3495</v>
      </c>
      <c r="Y40" s="441">
        <v>2504</v>
      </c>
      <c r="Z40" s="396">
        <v>0.64</v>
      </c>
      <c r="AA40" s="174">
        <f t="shared" si="8"/>
        <v>5600.1399999999994</v>
      </c>
      <c r="AD40" s="52"/>
    </row>
    <row r="41" spans="1:30" ht="30.4" x14ac:dyDescent="0.45">
      <c r="A41" s="170"/>
      <c r="B41" s="171">
        <v>6350</v>
      </c>
      <c r="C41" s="430" t="s">
        <v>202</v>
      </c>
      <c r="D41" s="213"/>
      <c r="E41" s="541">
        <v>76000</v>
      </c>
      <c r="F41" s="180">
        <f>221762-23117</f>
        <v>198645</v>
      </c>
      <c r="G41" s="456">
        <f t="shared" si="9"/>
        <v>340534.28571428568</v>
      </c>
      <c r="H41" s="470"/>
      <c r="I41" s="181">
        <f>(5800*12)-5000</f>
        <v>64600</v>
      </c>
      <c r="J41" s="179"/>
      <c r="K41" s="183">
        <f t="shared" si="7"/>
        <v>64600</v>
      </c>
      <c r="L41" s="394">
        <v>1</v>
      </c>
      <c r="M41" s="182">
        <v>0</v>
      </c>
      <c r="N41" s="396"/>
      <c r="O41" s="182">
        <v>0</v>
      </c>
      <c r="P41" s="396"/>
      <c r="Q41" s="182">
        <v>0</v>
      </c>
      <c r="R41" s="396"/>
      <c r="S41" s="469">
        <v>0</v>
      </c>
      <c r="T41" s="396"/>
      <c r="U41" s="182">
        <v>0</v>
      </c>
      <c r="V41" s="396"/>
      <c r="W41" s="182">
        <v>0</v>
      </c>
      <c r="X41" s="441">
        <v>7932</v>
      </c>
      <c r="Y41" s="441">
        <v>9531</v>
      </c>
      <c r="Z41" s="396"/>
      <c r="AA41" s="174">
        <f t="shared" si="8"/>
        <v>64600</v>
      </c>
      <c r="AD41" s="52"/>
    </row>
    <row r="42" spans="1:30" ht="15.4" x14ac:dyDescent="0.45">
      <c r="A42" s="170"/>
      <c r="B42" s="171">
        <v>6360</v>
      </c>
      <c r="C42" s="431" t="s">
        <v>131</v>
      </c>
      <c r="D42" s="199"/>
      <c r="E42" s="541">
        <v>40000</v>
      </c>
      <c r="F42" s="180">
        <v>28828</v>
      </c>
      <c r="G42" s="456">
        <f t="shared" si="9"/>
        <v>49419.42857142858</v>
      </c>
      <c r="H42" s="470"/>
      <c r="I42" s="181">
        <f>14200+19200+(89*12)</f>
        <v>34468</v>
      </c>
      <c r="J42" s="179"/>
      <c r="K42" s="183">
        <v>4924</v>
      </c>
      <c r="L42" s="394" t="s">
        <v>0</v>
      </c>
      <c r="M42" s="182">
        <v>0</v>
      </c>
      <c r="N42" s="396"/>
      <c r="O42" s="182">
        <v>0</v>
      </c>
      <c r="P42" s="396"/>
      <c r="Q42" s="182">
        <v>0</v>
      </c>
      <c r="R42" s="396"/>
      <c r="S42" s="469">
        <v>4924</v>
      </c>
      <c r="T42" s="396" t="s">
        <v>0</v>
      </c>
      <c r="U42" s="182">
        <v>0</v>
      </c>
      <c r="V42" s="396"/>
      <c r="W42" s="182">
        <v>24620</v>
      </c>
      <c r="X42" s="441">
        <v>33868</v>
      </c>
      <c r="Y42" s="441">
        <v>35156</v>
      </c>
      <c r="Z42" s="396">
        <v>0</v>
      </c>
      <c r="AA42" s="174">
        <f t="shared" si="8"/>
        <v>34468</v>
      </c>
      <c r="AD42" s="52"/>
    </row>
    <row r="43" spans="1:30" ht="15.4" x14ac:dyDescent="0.45">
      <c r="A43" s="170"/>
      <c r="B43" s="171">
        <v>6365</v>
      </c>
      <c r="C43" s="431" t="s">
        <v>314</v>
      </c>
      <c r="D43" s="199"/>
      <c r="E43" s="541">
        <v>17000</v>
      </c>
      <c r="F43" s="180">
        <v>20000</v>
      </c>
      <c r="G43" s="456">
        <f t="shared" si="9"/>
        <v>34285.71428571429</v>
      </c>
      <c r="H43" s="470"/>
      <c r="I43" s="181">
        <v>31000</v>
      </c>
      <c r="J43" s="179"/>
      <c r="K43" s="183">
        <f>I43*L43</f>
        <v>0</v>
      </c>
      <c r="L43" s="394"/>
      <c r="M43" s="182">
        <v>0</v>
      </c>
      <c r="N43" s="396"/>
      <c r="O43" s="182">
        <v>0</v>
      </c>
      <c r="P43" s="396"/>
      <c r="Q43" s="182">
        <v>0</v>
      </c>
      <c r="R43" s="396"/>
      <c r="S43" s="469">
        <v>0</v>
      </c>
      <c r="T43" s="396"/>
      <c r="U43" s="182">
        <v>0</v>
      </c>
      <c r="V43" s="396"/>
      <c r="W43" s="182">
        <f>Z43*I43</f>
        <v>31000</v>
      </c>
      <c r="X43" s="441"/>
      <c r="Y43" s="441" t="s">
        <v>0</v>
      </c>
      <c r="Z43" s="396">
        <v>1</v>
      </c>
      <c r="AA43" s="174">
        <f t="shared" si="8"/>
        <v>31000</v>
      </c>
      <c r="AD43" s="52"/>
    </row>
    <row r="44" spans="1:30" ht="15.4" x14ac:dyDescent="0.45">
      <c r="A44" s="170"/>
      <c r="B44" s="171">
        <v>6370</v>
      </c>
      <c r="C44" s="199" t="s">
        <v>133</v>
      </c>
      <c r="D44" s="199"/>
      <c r="E44" s="541">
        <v>2550</v>
      </c>
      <c r="F44" s="180">
        <v>681</v>
      </c>
      <c r="G44" s="456">
        <f t="shared" si="9"/>
        <v>1167.4285714285716</v>
      </c>
      <c r="H44" s="470"/>
      <c r="I44" s="181">
        <v>4800</v>
      </c>
      <c r="J44" s="179"/>
      <c r="K44" s="183">
        <f>I44*L44</f>
        <v>0</v>
      </c>
      <c r="L44" s="394"/>
      <c r="M44" s="182">
        <v>0</v>
      </c>
      <c r="N44" s="396"/>
      <c r="O44" s="182">
        <v>0</v>
      </c>
      <c r="P44" s="396"/>
      <c r="Q44" s="182">
        <v>0</v>
      </c>
      <c r="R44" s="396"/>
      <c r="S44" s="469">
        <v>0</v>
      </c>
      <c r="T44" s="396"/>
      <c r="U44" s="182">
        <v>0</v>
      </c>
      <c r="V44" s="396"/>
      <c r="W44" s="182">
        <v>4800</v>
      </c>
      <c r="X44" s="441">
        <v>3944</v>
      </c>
      <c r="Y44" s="441">
        <v>681</v>
      </c>
      <c r="Z44" s="396">
        <v>1</v>
      </c>
      <c r="AA44" s="174">
        <f t="shared" si="8"/>
        <v>4800</v>
      </c>
      <c r="AD44" s="52"/>
    </row>
    <row r="45" spans="1:30" ht="15.4" x14ac:dyDescent="0.45">
      <c r="A45" s="170"/>
      <c r="B45" s="171">
        <v>6375</v>
      </c>
      <c r="C45" s="199" t="s">
        <v>134</v>
      </c>
      <c r="D45" s="199"/>
      <c r="E45" s="541">
        <v>164000</v>
      </c>
      <c r="F45" s="180">
        <v>80714</v>
      </c>
      <c r="G45" s="456">
        <f t="shared" si="9"/>
        <v>138366.85714285716</v>
      </c>
      <c r="H45" s="470"/>
      <c r="I45" s="181">
        <v>198000</v>
      </c>
      <c r="J45" s="179"/>
      <c r="K45" s="183">
        <f>I45*L45</f>
        <v>0</v>
      </c>
      <c r="L45" s="394"/>
      <c r="M45" s="182">
        <v>0</v>
      </c>
      <c r="N45" s="396"/>
      <c r="O45" s="182">
        <v>0</v>
      </c>
      <c r="P45" s="396"/>
      <c r="Q45" s="182">
        <v>0</v>
      </c>
      <c r="R45" s="396"/>
      <c r="S45" s="469">
        <v>0</v>
      </c>
      <c r="T45" s="396"/>
      <c r="U45" s="182">
        <v>0</v>
      </c>
      <c r="V45" s="396"/>
      <c r="W45" s="182">
        <f>Z45*I45</f>
        <v>198000</v>
      </c>
      <c r="X45" s="441">
        <f>208962-4019</f>
        <v>204943</v>
      </c>
      <c r="Y45" s="441">
        <v>78164</v>
      </c>
      <c r="Z45" s="396">
        <v>1</v>
      </c>
      <c r="AA45" s="174">
        <f t="shared" si="8"/>
        <v>198000</v>
      </c>
      <c r="AD45" s="52"/>
    </row>
    <row r="46" spans="1:30" ht="15.4" x14ac:dyDescent="0.45">
      <c r="A46" s="170"/>
      <c r="B46" s="171">
        <v>6380</v>
      </c>
      <c r="C46" s="172" t="s">
        <v>135</v>
      </c>
      <c r="D46" s="172"/>
      <c r="E46" s="541">
        <v>514700</v>
      </c>
      <c r="F46" s="180">
        <v>486282</v>
      </c>
      <c r="G46" s="456">
        <f t="shared" si="9"/>
        <v>833626.28571428568</v>
      </c>
      <c r="H46" s="470"/>
      <c r="I46" s="181">
        <v>491000</v>
      </c>
      <c r="J46" s="179"/>
      <c r="K46" s="183">
        <f>I46*L46</f>
        <v>0</v>
      </c>
      <c r="L46" s="394"/>
      <c r="M46" s="182">
        <v>158000</v>
      </c>
      <c r="N46" s="396" t="s">
        <v>0</v>
      </c>
      <c r="O46" s="182">
        <v>145000</v>
      </c>
      <c r="P46" s="396" t="s">
        <v>0</v>
      </c>
      <c r="Q46" s="182">
        <v>188000</v>
      </c>
      <c r="R46" s="396" t="s">
        <v>0</v>
      </c>
      <c r="S46" s="469">
        <v>0</v>
      </c>
      <c r="T46" s="396"/>
      <c r="U46" s="182">
        <v>0</v>
      </c>
      <c r="V46" s="396"/>
      <c r="W46" s="182">
        <v>0</v>
      </c>
      <c r="X46" s="441"/>
      <c r="Y46" s="441"/>
      <c r="Z46" s="396"/>
      <c r="AA46" s="174">
        <f t="shared" si="8"/>
        <v>491000</v>
      </c>
      <c r="AD46" s="52"/>
    </row>
    <row r="47" spans="1:30" ht="15.4" x14ac:dyDescent="0.45">
      <c r="A47" s="170"/>
      <c r="B47" s="171">
        <v>6390</v>
      </c>
      <c r="C47" s="199" t="s">
        <v>136</v>
      </c>
      <c r="D47" s="199"/>
      <c r="E47" s="541">
        <v>93000</v>
      </c>
      <c r="F47" s="185">
        <v>166744</v>
      </c>
      <c r="G47" s="456">
        <f t="shared" si="9"/>
        <v>285846.85714285716</v>
      </c>
      <c r="H47" s="470"/>
      <c r="I47" s="181">
        <v>53600</v>
      </c>
      <c r="J47" s="179"/>
      <c r="K47" s="183">
        <f>I47*L47</f>
        <v>0</v>
      </c>
      <c r="L47" s="397"/>
      <c r="M47" s="188">
        <v>0</v>
      </c>
      <c r="N47" s="405"/>
      <c r="O47" s="188">
        <v>0</v>
      </c>
      <c r="P47" s="405"/>
      <c r="Q47" s="188">
        <v>0</v>
      </c>
      <c r="R47" s="405"/>
      <c r="S47" s="529">
        <v>0</v>
      </c>
      <c r="T47" s="405"/>
      <c r="U47" s="188">
        <f>85600-32000</f>
        <v>53600</v>
      </c>
      <c r="V47" s="405">
        <f>U47/I47</f>
        <v>1</v>
      </c>
      <c r="W47" s="188">
        <v>0</v>
      </c>
      <c r="X47" s="445"/>
      <c r="Y47" s="445"/>
      <c r="Z47" s="405"/>
      <c r="AA47" s="174">
        <f t="shared" si="8"/>
        <v>53600</v>
      </c>
      <c r="AD47" s="52"/>
    </row>
    <row r="48" spans="1:30" ht="15.4" x14ac:dyDescent="0.45">
      <c r="A48" s="170"/>
      <c r="B48" s="171"/>
      <c r="C48" s="165" t="s">
        <v>137</v>
      </c>
      <c r="D48" s="165"/>
      <c r="E48" s="539">
        <f>SUM(E36:E47)</f>
        <v>1028750</v>
      </c>
      <c r="F48" s="227">
        <f>SUM(F36:F47)</f>
        <v>1108965</v>
      </c>
      <c r="G48" s="464">
        <f>SUM(G36:G47)</f>
        <v>1867453.7142857141</v>
      </c>
      <c r="H48" s="473"/>
      <c r="I48" s="225">
        <f>SUM(I36:I47)</f>
        <v>1018368.14</v>
      </c>
      <c r="J48" s="224"/>
      <c r="K48" s="206">
        <f>SUM(K36:K47)</f>
        <v>164506.39500000002</v>
      </c>
      <c r="L48" s="383"/>
      <c r="M48" s="206">
        <f>SUM(M36:M47)</f>
        <v>158000</v>
      </c>
      <c r="N48" s="383"/>
      <c r="O48" s="206">
        <f>SUM(O36:O47)</f>
        <v>145000</v>
      </c>
      <c r="P48" s="383"/>
      <c r="Q48" s="206">
        <f>SUM(Q36:Q47)</f>
        <v>188000</v>
      </c>
      <c r="R48" s="383"/>
      <c r="S48" s="206">
        <f>SUM(S36:S47)</f>
        <v>10820.0154</v>
      </c>
      <c r="T48" s="383"/>
      <c r="U48" s="206">
        <f>SUM(U36:U47)</f>
        <v>53600</v>
      </c>
      <c r="V48" s="383"/>
      <c r="W48" s="206">
        <f>SUM(W36:W47)</f>
        <v>298441.72959999996</v>
      </c>
      <c r="X48" s="443">
        <f>SUM(X36:X47)</f>
        <v>295390</v>
      </c>
      <c r="Y48" s="443">
        <f>SUM(Y36:Y47)</f>
        <v>147159</v>
      </c>
      <c r="Z48" s="383"/>
      <c r="AA48" s="227">
        <f>SUM(AA36:AA47)</f>
        <v>1018368.14</v>
      </c>
      <c r="AD48" s="52">
        <f>+K48+M48+O48+Q48+S48+U48+W48</f>
        <v>1018368.14</v>
      </c>
    </row>
    <row r="49" spans="1:30" ht="15.4" x14ac:dyDescent="0.45">
      <c r="A49" s="216"/>
      <c r="B49" s="171"/>
      <c r="C49" s="172"/>
      <c r="D49" s="172"/>
      <c r="E49" s="538"/>
      <c r="F49" s="196"/>
      <c r="G49" s="458"/>
      <c r="H49" s="472"/>
      <c r="I49" s="197"/>
      <c r="J49" s="195"/>
      <c r="K49" s="212"/>
      <c r="L49" s="385"/>
      <c r="M49" s="52"/>
      <c r="N49" s="392"/>
      <c r="O49" s="52"/>
      <c r="P49" s="392"/>
      <c r="Q49" s="52"/>
      <c r="R49" s="392"/>
      <c r="S49" s="530"/>
      <c r="T49" s="392"/>
      <c r="U49" s="52"/>
      <c r="V49" s="392"/>
      <c r="W49" s="52"/>
      <c r="X49" s="444"/>
      <c r="Y49" s="444"/>
      <c r="Z49" s="392"/>
      <c r="AA49" s="198" t="s">
        <v>0</v>
      </c>
    </row>
    <row r="50" spans="1:30" ht="15.4" x14ac:dyDescent="0.45">
      <c r="A50" s="216"/>
      <c r="B50" s="171"/>
      <c r="C50" s="172"/>
      <c r="D50" s="172"/>
      <c r="E50" s="538"/>
      <c r="F50" s="196"/>
      <c r="G50" s="458"/>
      <c r="H50" s="472"/>
      <c r="I50" s="197"/>
      <c r="J50" s="195"/>
      <c r="K50" s="212"/>
      <c r="L50" s="385"/>
      <c r="M50" s="52"/>
      <c r="N50" s="392"/>
      <c r="O50" s="52"/>
      <c r="P50" s="392"/>
      <c r="Q50" s="52"/>
      <c r="R50" s="392"/>
      <c r="S50" s="530"/>
      <c r="T50" s="392"/>
      <c r="U50" s="52"/>
      <c r="V50" s="392"/>
      <c r="W50" s="52"/>
      <c r="X50" s="444"/>
      <c r="Y50" s="444"/>
      <c r="Z50" s="392"/>
      <c r="AA50" s="198" t="s">
        <v>0</v>
      </c>
    </row>
    <row r="51" spans="1:30" ht="15.4" x14ac:dyDescent="0.45">
      <c r="A51" s="216"/>
      <c r="B51" s="171">
        <v>6400</v>
      </c>
      <c r="C51" s="172" t="s">
        <v>138</v>
      </c>
      <c r="D51" s="172"/>
      <c r="E51" s="535">
        <v>2000</v>
      </c>
      <c r="F51" s="174">
        <f>3453+88+157-200+314</f>
        <v>3812</v>
      </c>
      <c r="G51" s="455">
        <f>(F51/7)*12+151</f>
        <v>6685.8571428571431</v>
      </c>
      <c r="H51" s="468"/>
      <c r="I51" s="175">
        <v>2000</v>
      </c>
      <c r="J51" s="176"/>
      <c r="K51" s="173">
        <f>L51*I51</f>
        <v>1600</v>
      </c>
      <c r="L51" s="394">
        <v>0.8</v>
      </c>
      <c r="M51" s="198">
        <v>0</v>
      </c>
      <c r="N51" s="407"/>
      <c r="O51" s="198">
        <v>0</v>
      </c>
      <c r="P51" s="407"/>
      <c r="Q51" s="198">
        <v>0</v>
      </c>
      <c r="R51" s="407"/>
      <c r="S51" s="468">
        <f>T51*I51</f>
        <v>200</v>
      </c>
      <c r="T51" s="396">
        <v>0.1</v>
      </c>
      <c r="U51" s="174">
        <v>0</v>
      </c>
      <c r="V51" s="396"/>
      <c r="W51" s="177">
        <f>10%*I51</f>
        <v>200</v>
      </c>
      <c r="X51" s="437">
        <f>933+177</f>
        <v>1110</v>
      </c>
      <c r="Y51" s="437">
        <f>1314+26</f>
        <v>1340</v>
      </c>
      <c r="Z51" s="396">
        <v>0.1</v>
      </c>
      <c r="AA51" s="174">
        <f>+K51+M51+O51+Q51+S51+U51+W51</f>
        <v>2000</v>
      </c>
    </row>
    <row r="52" spans="1:30" ht="15.4" x14ac:dyDescent="0.45">
      <c r="A52" s="216"/>
      <c r="B52" s="171">
        <v>6415</v>
      </c>
      <c r="C52" s="199" t="s">
        <v>140</v>
      </c>
      <c r="D52" s="199"/>
      <c r="E52" s="536">
        <v>5700</v>
      </c>
      <c r="F52" s="182">
        <v>8334</v>
      </c>
      <c r="G52" s="463">
        <f t="shared" ref="G52:G56" si="10">(F52/7)*12</f>
        <v>14286.857142857145</v>
      </c>
      <c r="H52" s="469"/>
      <c r="I52" s="219">
        <f>5400+6075</f>
        <v>11475</v>
      </c>
      <c r="J52" s="179"/>
      <c r="K52" s="183">
        <v>675</v>
      </c>
      <c r="L52" s="394">
        <v>0</v>
      </c>
      <c r="M52" s="196">
        <v>0</v>
      </c>
      <c r="N52" s="407"/>
      <c r="O52" s="196">
        <v>0</v>
      </c>
      <c r="P52" s="407"/>
      <c r="Q52" s="196">
        <v>0</v>
      </c>
      <c r="R52" s="407"/>
      <c r="S52" s="469">
        <v>675</v>
      </c>
      <c r="T52" s="396">
        <v>0</v>
      </c>
      <c r="U52" s="182">
        <v>0</v>
      </c>
      <c r="V52" s="396"/>
      <c r="W52" s="180">
        <v>10125</v>
      </c>
      <c r="X52" s="446">
        <v>9489</v>
      </c>
      <c r="Y52" s="446">
        <v>2225</v>
      </c>
      <c r="Z52" s="396">
        <v>0.63949999999999996</v>
      </c>
      <c r="AA52" s="174">
        <f t="shared" ref="AA52:AA57" si="11">+K52+M52+O52+Q52+S52+U52+W52</f>
        <v>11475</v>
      </c>
    </row>
    <row r="53" spans="1:30" ht="15.4" x14ac:dyDescent="0.45">
      <c r="A53" s="170"/>
      <c r="B53" s="171">
        <v>6420</v>
      </c>
      <c r="C53" s="172" t="s">
        <v>141</v>
      </c>
      <c r="D53" s="172"/>
      <c r="E53" s="536">
        <v>1000</v>
      </c>
      <c r="F53" s="182">
        <v>173</v>
      </c>
      <c r="G53" s="463">
        <f t="shared" si="10"/>
        <v>296.57142857142856</v>
      </c>
      <c r="H53" s="469"/>
      <c r="I53" s="219">
        <v>200</v>
      </c>
      <c r="J53" s="179"/>
      <c r="K53" s="183">
        <f>L53*I53</f>
        <v>200</v>
      </c>
      <c r="L53" s="394">
        <v>1</v>
      </c>
      <c r="M53" s="196">
        <v>0</v>
      </c>
      <c r="N53" s="407"/>
      <c r="O53" s="196">
        <v>0</v>
      </c>
      <c r="P53" s="407"/>
      <c r="Q53" s="196">
        <v>0</v>
      </c>
      <c r="R53" s="407"/>
      <c r="S53" s="469">
        <v>0</v>
      </c>
      <c r="T53" s="396"/>
      <c r="U53" s="182">
        <v>0</v>
      </c>
      <c r="V53" s="396"/>
      <c r="W53" s="180">
        <v>0</v>
      </c>
      <c r="X53" s="446">
        <v>297</v>
      </c>
      <c r="Y53" s="446">
        <v>91</v>
      </c>
      <c r="Z53" s="396"/>
      <c r="AA53" s="174">
        <f t="shared" si="11"/>
        <v>200</v>
      </c>
    </row>
    <row r="54" spans="1:30" ht="15.4" x14ac:dyDescent="0.45">
      <c r="A54" s="170"/>
      <c r="B54" s="171">
        <v>6425</v>
      </c>
      <c r="C54" s="172" t="s">
        <v>142</v>
      </c>
      <c r="D54" s="172"/>
      <c r="E54" s="536">
        <v>2200</v>
      </c>
      <c r="F54" s="182">
        <v>3579</v>
      </c>
      <c r="G54" s="463">
        <v>2700</v>
      </c>
      <c r="H54" s="469"/>
      <c r="I54" s="219">
        <v>2700</v>
      </c>
      <c r="J54" s="179"/>
      <c r="K54" s="183">
        <f>L54*I54</f>
        <v>2700</v>
      </c>
      <c r="L54" s="394">
        <v>1</v>
      </c>
      <c r="M54" s="196">
        <v>0</v>
      </c>
      <c r="N54" s="407"/>
      <c r="O54" s="196">
        <v>0</v>
      </c>
      <c r="P54" s="407"/>
      <c r="Q54" s="196">
        <v>0</v>
      </c>
      <c r="R54" s="407"/>
      <c r="S54" s="469">
        <v>0</v>
      </c>
      <c r="T54" s="396"/>
      <c r="U54" s="182">
        <v>0</v>
      </c>
      <c r="V54" s="396"/>
      <c r="W54" s="180">
        <v>0</v>
      </c>
      <c r="X54" s="446">
        <v>905</v>
      </c>
      <c r="Y54" s="446"/>
      <c r="Z54" s="396"/>
      <c r="AA54" s="174">
        <f t="shared" si="11"/>
        <v>2700</v>
      </c>
    </row>
    <row r="55" spans="1:30" ht="15.4" x14ac:dyDescent="0.45">
      <c r="A55" s="170"/>
      <c r="B55" s="171">
        <v>6430</v>
      </c>
      <c r="C55" s="172" t="s">
        <v>316</v>
      </c>
      <c r="D55" s="172"/>
      <c r="E55" s="536">
        <v>12000</v>
      </c>
      <c r="F55" s="182">
        <v>3932</v>
      </c>
      <c r="G55" s="463">
        <f t="shared" si="10"/>
        <v>6740.5714285714275</v>
      </c>
      <c r="H55" s="469"/>
      <c r="I55" s="219">
        <v>4800</v>
      </c>
      <c r="J55" s="179"/>
      <c r="K55" s="183">
        <v>0</v>
      </c>
      <c r="L55" s="394">
        <v>0.6</v>
      </c>
      <c r="M55" s="196">
        <v>0</v>
      </c>
      <c r="N55" s="407"/>
      <c r="O55" s="196">
        <v>0</v>
      </c>
      <c r="P55" s="407"/>
      <c r="Q55" s="196">
        <v>0</v>
      </c>
      <c r="R55" s="407"/>
      <c r="S55" s="469">
        <f>T55*I55</f>
        <v>1200</v>
      </c>
      <c r="T55" s="396">
        <v>0.25</v>
      </c>
      <c r="U55" s="182">
        <v>0</v>
      </c>
      <c r="V55" s="396"/>
      <c r="W55" s="180">
        <v>3600</v>
      </c>
      <c r="X55" s="446">
        <v>1451</v>
      </c>
      <c r="Y55" s="446">
        <v>1451</v>
      </c>
      <c r="Z55" s="396">
        <v>0.15</v>
      </c>
      <c r="AA55" s="174">
        <f t="shared" si="11"/>
        <v>4800</v>
      </c>
    </row>
    <row r="56" spans="1:30" ht="15.4" x14ac:dyDescent="0.45">
      <c r="A56" s="170"/>
      <c r="B56" s="171">
        <v>6435</v>
      </c>
      <c r="C56" s="172" t="s">
        <v>286</v>
      </c>
      <c r="D56" s="172"/>
      <c r="E56" s="536">
        <v>300000</v>
      </c>
      <c r="F56" s="182">
        <f>277332+855</f>
        <v>278187</v>
      </c>
      <c r="G56" s="463">
        <f t="shared" si="10"/>
        <v>476892</v>
      </c>
      <c r="H56" s="469"/>
      <c r="I56" s="219">
        <v>300000</v>
      </c>
      <c r="J56" s="179"/>
      <c r="K56" s="183">
        <v>0</v>
      </c>
      <c r="L56" s="394">
        <v>0.17</v>
      </c>
      <c r="M56" s="196">
        <v>0</v>
      </c>
      <c r="N56" s="407"/>
      <c r="O56" s="196">
        <v>0</v>
      </c>
      <c r="P56" s="407"/>
      <c r="Q56" s="196">
        <v>0</v>
      </c>
      <c r="R56" s="407"/>
      <c r="S56" s="469">
        <v>0</v>
      </c>
      <c r="T56" s="396"/>
      <c r="U56" s="182">
        <v>0</v>
      </c>
      <c r="V56" s="396"/>
      <c r="W56" s="180">
        <v>300000</v>
      </c>
      <c r="X56" s="446">
        <v>325718</v>
      </c>
      <c r="Y56" s="446">
        <v>50137</v>
      </c>
      <c r="Z56" s="396">
        <v>0.83</v>
      </c>
      <c r="AA56" s="174">
        <f t="shared" si="11"/>
        <v>300000</v>
      </c>
    </row>
    <row r="57" spans="1:30" ht="15.4" x14ac:dyDescent="0.45">
      <c r="A57" s="170"/>
      <c r="B57" s="171">
        <v>6440</v>
      </c>
      <c r="C57" s="172" t="s">
        <v>315</v>
      </c>
      <c r="D57" s="172"/>
      <c r="E57" s="536">
        <v>74000</v>
      </c>
      <c r="F57" s="182">
        <v>11632</v>
      </c>
      <c r="G57" s="463">
        <f>((F57/7)*12)</f>
        <v>19940.571428571428</v>
      </c>
      <c r="H57" s="469"/>
      <c r="I57" s="219">
        <f>25000+3000</f>
        <v>28000</v>
      </c>
      <c r="J57" s="179"/>
      <c r="K57" s="183">
        <v>0</v>
      </c>
      <c r="L57" s="394"/>
      <c r="M57" s="196"/>
      <c r="N57" s="407"/>
      <c r="O57" s="196"/>
      <c r="P57" s="407"/>
      <c r="Q57" s="196"/>
      <c r="R57" s="407"/>
      <c r="S57" s="469"/>
      <c r="T57" s="396"/>
      <c r="U57" s="182"/>
      <c r="V57" s="396"/>
      <c r="W57" s="180">
        <v>28000</v>
      </c>
      <c r="X57" s="446"/>
      <c r="Y57" s="446"/>
      <c r="Z57" s="396"/>
      <c r="AA57" s="174">
        <f t="shared" si="11"/>
        <v>28000</v>
      </c>
    </row>
    <row r="58" spans="1:30" ht="15.4" x14ac:dyDescent="0.45">
      <c r="A58" s="170"/>
      <c r="B58" s="171"/>
      <c r="C58" s="165" t="s">
        <v>146</v>
      </c>
      <c r="D58" s="165"/>
      <c r="E58" s="542">
        <f>SUM(E51:E57)</f>
        <v>396900</v>
      </c>
      <c r="F58" s="465">
        <f>SUM(F51:F57)</f>
        <v>309649</v>
      </c>
      <c r="G58" s="466">
        <f>SUM(G51:G57)</f>
        <v>527542.42857142864</v>
      </c>
      <c r="H58" s="475"/>
      <c r="I58" s="433">
        <f>SUM(I51:I57)</f>
        <v>349175</v>
      </c>
      <c r="J58" s="432"/>
      <c r="K58" s="206">
        <f>SUM(K50:K56)</f>
        <v>5175</v>
      </c>
      <c r="L58" s="383"/>
      <c r="M58" s="206">
        <f>SUM(M50:M56)</f>
        <v>0</v>
      </c>
      <c r="N58" s="383"/>
      <c r="O58" s="206">
        <f>SUM(O50:O56)</f>
        <v>0</v>
      </c>
      <c r="P58" s="383"/>
      <c r="Q58" s="206">
        <f>SUM(Q50:Q56)</f>
        <v>0</v>
      </c>
      <c r="R58" s="383"/>
      <c r="S58" s="206">
        <f>SUM(S50:S56)</f>
        <v>2075</v>
      </c>
      <c r="T58" s="383"/>
      <c r="U58" s="206">
        <f>SUM(U50:U56)</f>
        <v>0</v>
      </c>
      <c r="V58" s="383"/>
      <c r="W58" s="206">
        <f>SUM(W51:W57)</f>
        <v>341925</v>
      </c>
      <c r="X58" s="443">
        <f>SUM(X50:X56)</f>
        <v>338970</v>
      </c>
      <c r="Y58" s="443">
        <f>SUM(Y50:Y56)</f>
        <v>55244</v>
      </c>
      <c r="Z58" s="383"/>
      <c r="AA58" s="432">
        <f>SUM(AA51:AA57)</f>
        <v>349175</v>
      </c>
      <c r="AD58" s="52">
        <f>+K58+M58+O58+Q58+S58+U58+W58</f>
        <v>349175</v>
      </c>
    </row>
    <row r="59" spans="1:30" ht="15.4" x14ac:dyDescent="0.45">
      <c r="A59" s="170"/>
      <c r="B59" s="171"/>
      <c r="C59" s="172"/>
      <c r="D59" s="172"/>
      <c r="E59" s="538"/>
      <c r="F59" s="196"/>
      <c r="G59" s="458"/>
      <c r="H59" s="472"/>
      <c r="I59" s="197"/>
      <c r="J59" s="195"/>
      <c r="K59" s="212"/>
      <c r="L59" s="385"/>
      <c r="M59" s="52"/>
      <c r="N59" s="392"/>
      <c r="O59" s="52"/>
      <c r="P59" s="392"/>
      <c r="Q59" s="52"/>
      <c r="R59" s="392"/>
      <c r="S59" s="530"/>
      <c r="T59" s="392"/>
      <c r="U59" s="52"/>
      <c r="V59" s="392"/>
      <c r="W59" s="52"/>
      <c r="X59" s="444"/>
      <c r="Y59" s="444"/>
      <c r="Z59" s="392"/>
      <c r="AA59" s="198" t="s">
        <v>0</v>
      </c>
    </row>
    <row r="60" spans="1:30" ht="15.4" x14ac:dyDescent="0.45">
      <c r="A60" s="170"/>
      <c r="B60" s="171"/>
      <c r="C60" s="172"/>
      <c r="D60" s="172"/>
      <c r="E60" s="538"/>
      <c r="F60" s="196"/>
      <c r="G60" s="458"/>
      <c r="H60" s="472"/>
      <c r="I60" s="197"/>
      <c r="J60" s="195"/>
      <c r="K60" s="212"/>
      <c r="L60" s="385"/>
      <c r="M60" s="52"/>
      <c r="N60" s="392"/>
      <c r="O60" s="52"/>
      <c r="P60" s="392"/>
      <c r="Q60" s="52"/>
      <c r="R60" s="392"/>
      <c r="S60" s="530"/>
      <c r="T60" s="392"/>
      <c r="U60" s="52"/>
      <c r="V60" s="392"/>
      <c r="W60" s="52"/>
      <c r="X60" s="444"/>
      <c r="Y60" s="444"/>
      <c r="Z60" s="392"/>
      <c r="AA60" s="198" t="s">
        <v>0</v>
      </c>
    </row>
    <row r="61" spans="1:30" ht="15.4" x14ac:dyDescent="0.45">
      <c r="A61" s="170"/>
      <c r="B61" s="171">
        <v>6455</v>
      </c>
      <c r="C61" s="172" t="s">
        <v>147</v>
      </c>
      <c r="D61" s="172"/>
      <c r="E61" s="535">
        <v>0</v>
      </c>
      <c r="F61" s="174">
        <v>0</v>
      </c>
      <c r="G61" s="455">
        <f t="shared" ref="G61:G65" si="12">(F61/7)*12</f>
        <v>0</v>
      </c>
      <c r="H61" s="468"/>
      <c r="I61" s="175">
        <v>0</v>
      </c>
      <c r="J61" s="176"/>
      <c r="K61" s="173">
        <v>0</v>
      </c>
      <c r="L61" s="394"/>
      <c r="M61" s="174">
        <v>0</v>
      </c>
      <c r="N61" s="407"/>
      <c r="O61" s="198">
        <v>0</v>
      </c>
      <c r="P61" s="407"/>
      <c r="Q61" s="198">
        <v>0</v>
      </c>
      <c r="R61" s="407"/>
      <c r="S61" s="531">
        <v>0</v>
      </c>
      <c r="T61" s="407"/>
      <c r="U61" s="198">
        <v>0</v>
      </c>
      <c r="V61" s="407"/>
      <c r="W61" s="198">
        <v>0</v>
      </c>
      <c r="X61" s="447"/>
      <c r="Y61" s="447"/>
      <c r="Z61" s="407"/>
      <c r="AA61" s="174">
        <f>+K61+M61+O61+Q61+S61+U61+W61</f>
        <v>0</v>
      </c>
    </row>
    <row r="62" spans="1:30" ht="15.4" x14ac:dyDescent="0.45">
      <c r="A62" s="170"/>
      <c r="B62" s="171">
        <v>6460</v>
      </c>
      <c r="C62" s="172" t="s">
        <v>148</v>
      </c>
      <c r="D62" s="172"/>
      <c r="E62" s="536">
        <v>0</v>
      </c>
      <c r="F62" s="182">
        <v>200</v>
      </c>
      <c r="G62" s="463">
        <f t="shared" si="12"/>
        <v>342.85714285714289</v>
      </c>
      <c r="H62" s="469"/>
      <c r="I62" s="219">
        <v>200</v>
      </c>
      <c r="J62" s="179"/>
      <c r="K62" s="183">
        <v>200</v>
      </c>
      <c r="L62" s="394"/>
      <c r="M62" s="404">
        <v>0</v>
      </c>
      <c r="N62" s="396"/>
      <c r="O62" s="182">
        <v>0</v>
      </c>
      <c r="P62" s="396"/>
      <c r="Q62" s="182">
        <v>0</v>
      </c>
      <c r="R62" s="396"/>
      <c r="S62" s="469">
        <v>0</v>
      </c>
      <c r="T62" s="396"/>
      <c r="U62" s="182">
        <v>0</v>
      </c>
      <c r="V62" s="396"/>
      <c r="W62" s="182">
        <v>0</v>
      </c>
      <c r="X62" s="441"/>
      <c r="Y62" s="441"/>
      <c r="Z62" s="396"/>
      <c r="AA62" s="174">
        <f t="shared" ref="AA62:AA65" si="13">+K62+M62+O62+Q62+S62+U62+W62</f>
        <v>200</v>
      </c>
    </row>
    <row r="63" spans="1:30" ht="15.4" x14ac:dyDescent="0.45">
      <c r="A63" s="170"/>
      <c r="B63" s="171">
        <v>6470</v>
      </c>
      <c r="C63" s="172" t="s">
        <v>313</v>
      </c>
      <c r="D63" s="172"/>
      <c r="E63" s="536">
        <v>3200</v>
      </c>
      <c r="F63" s="182">
        <v>5134</v>
      </c>
      <c r="G63" s="463">
        <f t="shared" si="12"/>
        <v>8801.1428571428569</v>
      </c>
      <c r="H63" s="469"/>
      <c r="I63" s="219">
        <f>414*12</f>
        <v>4968</v>
      </c>
      <c r="J63" s="179"/>
      <c r="K63" s="183">
        <f>L63*I63</f>
        <v>4968</v>
      </c>
      <c r="L63" s="394">
        <v>1</v>
      </c>
      <c r="M63" s="404">
        <v>0</v>
      </c>
      <c r="N63" s="396"/>
      <c r="O63" s="182">
        <v>0</v>
      </c>
      <c r="P63" s="396"/>
      <c r="Q63" s="182">
        <v>0</v>
      </c>
      <c r="R63" s="396"/>
      <c r="S63" s="469">
        <v>0</v>
      </c>
      <c r="T63" s="396"/>
      <c r="U63" s="182">
        <v>0</v>
      </c>
      <c r="V63" s="396"/>
      <c r="W63" s="182">
        <v>0</v>
      </c>
      <c r="X63" s="441"/>
      <c r="Y63" s="441"/>
      <c r="Z63" s="396"/>
      <c r="AA63" s="174">
        <f t="shared" si="13"/>
        <v>4968</v>
      </c>
    </row>
    <row r="64" spans="1:30" ht="15.4" x14ac:dyDescent="0.45">
      <c r="A64" s="170"/>
      <c r="B64" s="171">
        <v>6500</v>
      </c>
      <c r="C64" s="172" t="s">
        <v>150</v>
      </c>
      <c r="D64" s="172"/>
      <c r="E64" s="536">
        <v>18000</v>
      </c>
      <c r="F64" s="182">
        <v>16656</v>
      </c>
      <c r="G64" s="463">
        <f t="shared" si="12"/>
        <v>28553.142857142859</v>
      </c>
      <c r="H64" s="469"/>
      <c r="I64" s="219">
        <f>1539*12</f>
        <v>18468</v>
      </c>
      <c r="J64" s="179"/>
      <c r="K64" s="183">
        <f>L64*I64</f>
        <v>18468</v>
      </c>
      <c r="L64" s="394">
        <v>1</v>
      </c>
      <c r="M64" s="404">
        <v>0</v>
      </c>
      <c r="N64" s="396"/>
      <c r="O64" s="182">
        <v>0</v>
      </c>
      <c r="P64" s="396"/>
      <c r="Q64" s="182">
        <v>0</v>
      </c>
      <c r="R64" s="396"/>
      <c r="S64" s="469">
        <v>0</v>
      </c>
      <c r="T64" s="396"/>
      <c r="U64" s="182">
        <v>0</v>
      </c>
      <c r="V64" s="396"/>
      <c r="W64" s="182">
        <v>0</v>
      </c>
      <c r="X64" s="441"/>
      <c r="Y64" s="441"/>
      <c r="Z64" s="396"/>
      <c r="AA64" s="174">
        <f t="shared" si="13"/>
        <v>18468</v>
      </c>
    </row>
    <row r="65" spans="1:30" ht="15.4" x14ac:dyDescent="0.45">
      <c r="A65" s="170"/>
      <c r="B65" s="171">
        <v>6510</v>
      </c>
      <c r="C65" s="172" t="s">
        <v>151</v>
      </c>
      <c r="D65" s="172"/>
      <c r="E65" s="536">
        <v>7764</v>
      </c>
      <c r="F65" s="182">
        <v>4666</v>
      </c>
      <c r="G65" s="463">
        <f t="shared" si="12"/>
        <v>7998.8571428571431</v>
      </c>
      <c r="H65" s="469"/>
      <c r="I65" s="219">
        <f>1920+'2021 Salaries'!E39+'2021 Salaries'!E60+1320</f>
        <v>11160</v>
      </c>
      <c r="J65" s="179"/>
      <c r="K65" s="183">
        <v>1320</v>
      </c>
      <c r="L65" s="394">
        <v>0</v>
      </c>
      <c r="M65" s="404">
        <v>0</v>
      </c>
      <c r="N65" s="396"/>
      <c r="O65" s="182">
        <v>0</v>
      </c>
      <c r="P65" s="396"/>
      <c r="Q65" s="182">
        <v>0</v>
      </c>
      <c r="R65" s="396"/>
      <c r="S65" s="469">
        <v>1320</v>
      </c>
      <c r="T65" s="396">
        <v>0.13139999999999999</v>
      </c>
      <c r="U65" s="182">
        <v>0</v>
      </c>
      <c r="V65" s="396"/>
      <c r="W65" s="182">
        <v>8520</v>
      </c>
      <c r="X65" s="441">
        <v>6164</v>
      </c>
      <c r="Y65" s="441">
        <v>2211</v>
      </c>
      <c r="Z65" s="396">
        <v>0.86860000000000004</v>
      </c>
      <c r="AA65" s="174">
        <f t="shared" si="13"/>
        <v>11160</v>
      </c>
    </row>
    <row r="66" spans="1:30" ht="15.4" x14ac:dyDescent="0.45">
      <c r="A66" s="170"/>
      <c r="B66" s="171"/>
      <c r="C66" s="165" t="s">
        <v>153</v>
      </c>
      <c r="D66" s="165"/>
      <c r="E66" s="542">
        <f>SUM(E61:E65)</f>
        <v>28964</v>
      </c>
      <c r="F66" s="465">
        <f>SUM(F61:F65)</f>
        <v>26656</v>
      </c>
      <c r="G66" s="466">
        <f>SUM(G61:G65)</f>
        <v>45696</v>
      </c>
      <c r="H66" s="475"/>
      <c r="I66" s="433">
        <f>SUM(I61:I65)</f>
        <v>34796</v>
      </c>
      <c r="J66" s="432"/>
      <c r="K66" s="206">
        <f>SUM(K61:K65)</f>
        <v>24956</v>
      </c>
      <c r="L66" s="383"/>
      <c r="M66" s="206">
        <f>SUM(M61:M65)</f>
        <v>0</v>
      </c>
      <c r="N66" s="383"/>
      <c r="O66" s="206">
        <f>SUM(O61:O65)</f>
        <v>0</v>
      </c>
      <c r="P66" s="383"/>
      <c r="Q66" s="206">
        <f>SUM(Q61:Q65)</f>
        <v>0</v>
      </c>
      <c r="R66" s="383"/>
      <c r="S66" s="206">
        <f>SUM(S61:S65)</f>
        <v>1320</v>
      </c>
      <c r="T66" s="383"/>
      <c r="U66" s="206">
        <f>SUM(U61:U65)</f>
        <v>0</v>
      </c>
      <c r="V66" s="383"/>
      <c r="W66" s="206">
        <f>SUM(W61:W65)</f>
        <v>8520</v>
      </c>
      <c r="X66" s="443">
        <f>SUM(X61:X65)</f>
        <v>6164</v>
      </c>
      <c r="Y66" s="443">
        <f>SUM(Y61:Y65)</f>
        <v>2211</v>
      </c>
      <c r="Z66" s="383"/>
      <c r="AA66" s="432">
        <f>SUM(AA61:AA65)</f>
        <v>34796</v>
      </c>
      <c r="AD66" s="52">
        <f>+K66+M66+O66+Q66+S66+U66+W66</f>
        <v>34796</v>
      </c>
    </row>
    <row r="67" spans="1:30" ht="15.4" x14ac:dyDescent="0.45">
      <c r="A67" s="170"/>
      <c r="B67" s="171"/>
      <c r="C67" s="208"/>
      <c r="D67" s="208"/>
      <c r="E67" s="538"/>
      <c r="F67" s="196"/>
      <c r="G67" s="458"/>
      <c r="H67" s="472"/>
      <c r="I67" s="197"/>
      <c r="J67" s="195"/>
      <c r="K67" s="212"/>
      <c r="L67" s="385"/>
      <c r="M67" s="52"/>
      <c r="N67" s="392"/>
      <c r="O67" s="52"/>
      <c r="P67" s="392"/>
      <c r="Q67" s="52"/>
      <c r="R67" s="392"/>
      <c r="S67" s="530"/>
      <c r="T67" s="392"/>
      <c r="U67" s="52"/>
      <c r="V67" s="392"/>
      <c r="W67" s="52"/>
      <c r="X67" s="444"/>
      <c r="Y67" s="444"/>
      <c r="Z67" s="392"/>
      <c r="AA67" s="198" t="s">
        <v>0</v>
      </c>
    </row>
    <row r="68" spans="1:30" ht="15.4" x14ac:dyDescent="0.45">
      <c r="A68" s="170"/>
      <c r="B68" s="171"/>
      <c r="C68" s="208"/>
      <c r="D68" s="208"/>
      <c r="E68" s="538"/>
      <c r="F68" s="196"/>
      <c r="G68" s="458"/>
      <c r="H68" s="472"/>
      <c r="I68" s="197"/>
      <c r="J68" s="195"/>
      <c r="K68" s="212"/>
      <c r="L68" s="385"/>
      <c r="M68" s="52"/>
      <c r="N68" s="392"/>
      <c r="O68" s="52"/>
      <c r="P68" s="392"/>
      <c r="Q68" s="52"/>
      <c r="R68" s="392"/>
      <c r="S68" s="530"/>
      <c r="T68" s="392"/>
      <c r="U68" s="52"/>
      <c r="V68" s="392"/>
      <c r="W68" s="52"/>
      <c r="X68" s="444"/>
      <c r="Y68" s="444"/>
      <c r="Z68" s="392"/>
      <c r="AA68" s="198" t="s">
        <v>0</v>
      </c>
    </row>
    <row r="69" spans="1:30" ht="15.4" x14ac:dyDescent="0.45">
      <c r="A69" s="170"/>
      <c r="B69" s="171">
        <v>6600</v>
      </c>
      <c r="C69" s="172" t="s">
        <v>154</v>
      </c>
      <c r="D69" s="172"/>
      <c r="E69" s="535">
        <f>4000+1700</f>
        <v>5700</v>
      </c>
      <c r="F69" s="174">
        <v>0</v>
      </c>
      <c r="G69" s="463">
        <f t="shared" ref="G69:G75" si="14">(F69/7)*12</f>
        <v>0</v>
      </c>
      <c r="H69" s="470"/>
      <c r="I69" s="175">
        <v>2000</v>
      </c>
      <c r="J69" s="173"/>
      <c r="K69" s="173">
        <v>0</v>
      </c>
      <c r="L69" s="394"/>
      <c r="M69" s="198">
        <v>0</v>
      </c>
      <c r="N69" s="407"/>
      <c r="O69" s="198">
        <v>0</v>
      </c>
      <c r="P69" s="407"/>
      <c r="Q69" s="198">
        <v>0</v>
      </c>
      <c r="R69" s="407"/>
      <c r="S69" s="468">
        <v>0</v>
      </c>
      <c r="T69" s="396"/>
      <c r="U69" s="174">
        <v>0</v>
      </c>
      <c r="V69" s="396"/>
      <c r="W69" s="174">
        <v>2000</v>
      </c>
      <c r="X69" s="440">
        <v>422</v>
      </c>
      <c r="Y69" s="440"/>
      <c r="Z69" s="396"/>
      <c r="AA69" s="174">
        <f>+K69+M69+O69+Q69+S69+U69+W69</f>
        <v>2000</v>
      </c>
    </row>
    <row r="70" spans="1:30" ht="15.4" x14ac:dyDescent="0.45">
      <c r="A70" s="170"/>
      <c r="B70" s="171">
        <v>6605</v>
      </c>
      <c r="C70" s="199" t="s">
        <v>155</v>
      </c>
      <c r="D70" s="199"/>
      <c r="E70" s="536">
        <v>0</v>
      </c>
      <c r="F70" s="182">
        <f>297+74</f>
        <v>371</v>
      </c>
      <c r="G70" s="463">
        <f t="shared" si="14"/>
        <v>636</v>
      </c>
      <c r="H70" s="469"/>
      <c r="I70" s="219">
        <v>1200</v>
      </c>
      <c r="J70" s="183"/>
      <c r="K70" s="183">
        <v>0</v>
      </c>
      <c r="L70" s="394"/>
      <c r="M70" s="196">
        <v>0</v>
      </c>
      <c r="N70" s="407"/>
      <c r="O70" s="198">
        <v>0</v>
      </c>
      <c r="P70" s="407"/>
      <c r="Q70" s="196">
        <v>0</v>
      </c>
      <c r="R70" s="407"/>
      <c r="S70" s="469">
        <v>0</v>
      </c>
      <c r="T70" s="396">
        <v>0.22220000000000001</v>
      </c>
      <c r="U70" s="182">
        <v>0</v>
      </c>
      <c r="V70" s="396"/>
      <c r="W70" s="182">
        <v>1200</v>
      </c>
      <c r="X70" s="441">
        <v>120</v>
      </c>
      <c r="Y70" s="441">
        <f>50+195</f>
        <v>245</v>
      </c>
      <c r="Z70" s="396">
        <v>0.77780000000000005</v>
      </c>
      <c r="AA70" s="174">
        <f t="shared" ref="AA70:AA75" si="15">+K70+M70+O70+Q70+S70+U70+W70</f>
        <v>1200</v>
      </c>
    </row>
    <row r="71" spans="1:30" ht="15.4" x14ac:dyDescent="0.45">
      <c r="A71" s="170"/>
      <c r="B71" s="171">
        <v>6610</v>
      </c>
      <c r="C71" s="172" t="s">
        <v>156</v>
      </c>
      <c r="D71" s="172"/>
      <c r="E71" s="536">
        <v>9000</v>
      </c>
      <c r="F71" s="182">
        <v>2706</v>
      </c>
      <c r="G71" s="463">
        <f t="shared" si="14"/>
        <v>4638.8571428571431</v>
      </c>
      <c r="H71" s="469"/>
      <c r="I71" s="219">
        <v>4500</v>
      </c>
      <c r="J71" s="183"/>
      <c r="K71" s="183">
        <v>0</v>
      </c>
      <c r="L71" s="394"/>
      <c r="M71" s="196">
        <v>0</v>
      </c>
      <c r="N71" s="407"/>
      <c r="O71" s="198">
        <v>0</v>
      </c>
      <c r="P71" s="407"/>
      <c r="Q71" s="196">
        <v>0</v>
      </c>
      <c r="R71" s="407"/>
      <c r="S71" s="469">
        <f>T71*I71</f>
        <v>999.90000000000009</v>
      </c>
      <c r="T71" s="396">
        <v>0.22220000000000001</v>
      </c>
      <c r="U71" s="182">
        <v>0</v>
      </c>
      <c r="V71" s="396"/>
      <c r="W71" s="182">
        <f>Z71*I71</f>
        <v>3500.1000000000004</v>
      </c>
      <c r="X71" s="441">
        <v>5314</v>
      </c>
      <c r="Y71" s="441">
        <v>1130</v>
      </c>
      <c r="Z71" s="396">
        <v>0.77780000000000005</v>
      </c>
      <c r="AA71" s="174">
        <f t="shared" si="15"/>
        <v>4500</v>
      </c>
    </row>
    <row r="72" spans="1:30" ht="15.4" x14ac:dyDescent="0.45">
      <c r="A72" s="170"/>
      <c r="B72" s="171">
        <v>6615</v>
      </c>
      <c r="C72" s="172" t="s">
        <v>157</v>
      </c>
      <c r="D72" s="172"/>
      <c r="E72" s="536">
        <v>200</v>
      </c>
      <c r="F72" s="182">
        <v>0</v>
      </c>
      <c r="G72" s="463">
        <f t="shared" si="14"/>
        <v>0</v>
      </c>
      <c r="H72" s="469"/>
      <c r="I72" s="219">
        <v>200</v>
      </c>
      <c r="J72" s="183"/>
      <c r="K72" s="183">
        <f>L72*I72</f>
        <v>200</v>
      </c>
      <c r="L72" s="394">
        <v>1</v>
      </c>
      <c r="M72" s="196">
        <v>0</v>
      </c>
      <c r="N72" s="407"/>
      <c r="O72" s="198">
        <v>0</v>
      </c>
      <c r="P72" s="407"/>
      <c r="Q72" s="196">
        <v>0</v>
      </c>
      <c r="R72" s="407"/>
      <c r="S72" s="469">
        <v>0</v>
      </c>
      <c r="T72" s="396"/>
      <c r="U72" s="182">
        <v>0</v>
      </c>
      <c r="V72" s="396"/>
      <c r="W72" s="182">
        <f>Z72*I72</f>
        <v>0</v>
      </c>
      <c r="X72" s="441"/>
      <c r="Y72" s="441"/>
      <c r="Z72" s="396"/>
      <c r="AA72" s="174">
        <f t="shared" si="15"/>
        <v>200</v>
      </c>
    </row>
    <row r="73" spans="1:30" ht="15.4" x14ac:dyDescent="0.45">
      <c r="A73" s="170"/>
      <c r="B73" s="171">
        <v>6620</v>
      </c>
      <c r="C73" s="199" t="s">
        <v>158</v>
      </c>
      <c r="D73" s="199"/>
      <c r="E73" s="536">
        <v>350</v>
      </c>
      <c r="F73" s="182">
        <v>183</v>
      </c>
      <c r="G73" s="463">
        <f t="shared" si="14"/>
        <v>313.71428571428572</v>
      </c>
      <c r="H73" s="469"/>
      <c r="I73" s="219">
        <v>600</v>
      </c>
      <c r="J73" s="183"/>
      <c r="K73" s="183">
        <v>0</v>
      </c>
      <c r="L73" s="394"/>
      <c r="M73" s="196">
        <v>0</v>
      </c>
      <c r="N73" s="407"/>
      <c r="O73" s="198">
        <v>0</v>
      </c>
      <c r="P73" s="407"/>
      <c r="Q73" s="196">
        <v>0</v>
      </c>
      <c r="R73" s="407"/>
      <c r="S73" s="469">
        <v>0</v>
      </c>
      <c r="T73" s="396">
        <v>0.42859999999999998</v>
      </c>
      <c r="U73" s="182">
        <v>0</v>
      </c>
      <c r="V73" s="396"/>
      <c r="W73" s="182">
        <v>600</v>
      </c>
      <c r="X73" s="441"/>
      <c r="Y73" s="441"/>
      <c r="Z73" s="396">
        <v>0.57140000000000002</v>
      </c>
      <c r="AA73" s="174">
        <f t="shared" si="15"/>
        <v>600</v>
      </c>
    </row>
    <row r="74" spans="1:30" ht="15.4" x14ac:dyDescent="0.45">
      <c r="A74" s="170"/>
      <c r="B74" s="171">
        <v>6625</v>
      </c>
      <c r="C74" s="172" t="s">
        <v>159</v>
      </c>
      <c r="D74" s="172"/>
      <c r="E74" s="536">
        <v>4000</v>
      </c>
      <c r="F74" s="182">
        <v>118</v>
      </c>
      <c r="G74" s="463">
        <f t="shared" si="14"/>
        <v>202.28571428571428</v>
      </c>
      <c r="H74" s="469"/>
      <c r="I74" s="219">
        <v>2000</v>
      </c>
      <c r="J74" s="183"/>
      <c r="K74" s="183">
        <v>0</v>
      </c>
      <c r="L74" s="394"/>
      <c r="M74" s="196">
        <v>0</v>
      </c>
      <c r="N74" s="407"/>
      <c r="O74" s="198">
        <v>0</v>
      </c>
      <c r="P74" s="407"/>
      <c r="Q74" s="196">
        <v>0</v>
      </c>
      <c r="R74" s="407"/>
      <c r="S74" s="469">
        <f>T74*I74</f>
        <v>1000</v>
      </c>
      <c r="T74" s="396">
        <v>0.5</v>
      </c>
      <c r="U74" s="182">
        <v>0</v>
      </c>
      <c r="V74" s="396"/>
      <c r="W74" s="182">
        <f>(Z74*I74)</f>
        <v>1000</v>
      </c>
      <c r="X74" s="441"/>
      <c r="Y74" s="441"/>
      <c r="Z74" s="396">
        <v>0.5</v>
      </c>
      <c r="AA74" s="174">
        <f t="shared" si="15"/>
        <v>2000</v>
      </c>
    </row>
    <row r="75" spans="1:30" ht="15.4" x14ac:dyDescent="0.45">
      <c r="A75" s="170"/>
      <c r="B75" s="171">
        <v>6630</v>
      </c>
      <c r="C75" s="172" t="s">
        <v>160</v>
      </c>
      <c r="D75" s="172"/>
      <c r="E75" s="536">
        <v>250</v>
      </c>
      <c r="F75" s="182">
        <v>25</v>
      </c>
      <c r="G75" s="463">
        <f t="shared" si="14"/>
        <v>42.857142857142861</v>
      </c>
      <c r="H75" s="469"/>
      <c r="I75" s="219">
        <v>250</v>
      </c>
      <c r="J75" s="183"/>
      <c r="K75" s="183">
        <f>L75*I75</f>
        <v>250</v>
      </c>
      <c r="L75" s="394">
        <v>1</v>
      </c>
      <c r="M75" s="196">
        <v>0</v>
      </c>
      <c r="N75" s="407"/>
      <c r="O75" s="198">
        <v>0</v>
      </c>
      <c r="P75" s="407"/>
      <c r="Q75" s="196">
        <v>0</v>
      </c>
      <c r="R75" s="407"/>
      <c r="S75" s="469">
        <v>0</v>
      </c>
      <c r="T75" s="396"/>
      <c r="U75" s="182">
        <v>0</v>
      </c>
      <c r="V75" s="396"/>
      <c r="W75" s="182">
        <f>Z75*I75</f>
        <v>0</v>
      </c>
      <c r="X75" s="441"/>
      <c r="Y75" s="441"/>
      <c r="Z75" s="396"/>
      <c r="AA75" s="174">
        <f t="shared" si="15"/>
        <v>250</v>
      </c>
    </row>
    <row r="76" spans="1:30" ht="15.4" x14ac:dyDescent="0.45">
      <c r="A76" s="170"/>
      <c r="B76" s="171"/>
      <c r="C76" s="165" t="s">
        <v>163</v>
      </c>
      <c r="D76" s="165"/>
      <c r="E76" s="539">
        <f>SUM(E69:E75)</f>
        <v>19500</v>
      </c>
      <c r="F76" s="227">
        <f>SUM(F69:F75)</f>
        <v>3403</v>
      </c>
      <c r="G76" s="464">
        <f>SUM(G69:G75)</f>
        <v>5833.7142857142862</v>
      </c>
      <c r="H76" s="473"/>
      <c r="I76" s="225">
        <f>SUM(I69:I75)</f>
        <v>10750</v>
      </c>
      <c r="J76" s="224"/>
      <c r="K76" s="206">
        <f>SUM(K69:K75)</f>
        <v>450</v>
      </c>
      <c r="L76" s="383"/>
      <c r="M76" s="206">
        <f>SUM(M69:M75)</f>
        <v>0</v>
      </c>
      <c r="N76" s="383"/>
      <c r="O76" s="206">
        <f>SUM(O69:O75)</f>
        <v>0</v>
      </c>
      <c r="P76" s="383"/>
      <c r="Q76" s="206">
        <f>SUM(Q69:Q75)</f>
        <v>0</v>
      </c>
      <c r="R76" s="383"/>
      <c r="S76" s="206">
        <f>SUM(S69:S75)</f>
        <v>1999.9</v>
      </c>
      <c r="T76" s="383"/>
      <c r="U76" s="206">
        <f>SUM(U69:U75)</f>
        <v>0</v>
      </c>
      <c r="V76" s="383"/>
      <c r="W76" s="206">
        <f>SUM(W69:W75)</f>
        <v>8300.1</v>
      </c>
      <c r="X76" s="443">
        <f>SUM(X69:X75)</f>
        <v>5856</v>
      </c>
      <c r="Y76" s="443">
        <f>SUM(Y69:Y75)</f>
        <v>1375</v>
      </c>
      <c r="Z76" s="383"/>
      <c r="AA76" s="432">
        <f>SUM(AA69:AA75)</f>
        <v>10750</v>
      </c>
      <c r="AD76" s="52">
        <f>+K76+M76+O76+Q76+S76+U76+W76</f>
        <v>10750</v>
      </c>
    </row>
    <row r="77" spans="1:30" ht="15.4" x14ac:dyDescent="0.45">
      <c r="A77" s="170"/>
      <c r="B77" s="171"/>
      <c r="C77" s="172"/>
      <c r="D77" s="172"/>
      <c r="E77" s="538"/>
      <c r="F77" s="196"/>
      <c r="G77" s="458"/>
      <c r="H77" s="472"/>
      <c r="I77" s="197"/>
      <c r="J77" s="195"/>
      <c r="K77" s="212"/>
      <c r="L77" s="385"/>
      <c r="M77" s="52"/>
      <c r="N77" s="392"/>
      <c r="O77" s="52"/>
      <c r="P77" s="392"/>
      <c r="Q77" s="52"/>
      <c r="R77" s="392"/>
      <c r="S77" s="530"/>
      <c r="T77" s="392"/>
      <c r="U77" s="52"/>
      <c r="V77" s="392"/>
      <c r="W77" s="52"/>
      <c r="X77" s="444"/>
      <c r="Y77" s="444"/>
      <c r="Z77" s="392"/>
      <c r="AA77" s="198" t="s">
        <v>0</v>
      </c>
    </row>
    <row r="78" spans="1:30" ht="15.4" x14ac:dyDescent="0.45">
      <c r="A78" s="170"/>
      <c r="B78" s="171"/>
      <c r="C78" s="172"/>
      <c r="D78" s="172"/>
      <c r="E78" s="538"/>
      <c r="F78" s="196"/>
      <c r="G78" s="458"/>
      <c r="H78" s="472"/>
      <c r="I78" s="197"/>
      <c r="J78" s="195"/>
      <c r="K78" s="212"/>
      <c r="L78" s="385"/>
      <c r="M78" s="52"/>
      <c r="N78" s="392"/>
      <c r="O78" s="52"/>
      <c r="P78" s="392"/>
      <c r="Q78" s="52"/>
      <c r="R78" s="392"/>
      <c r="S78" s="530"/>
      <c r="T78" s="392"/>
      <c r="U78" s="52"/>
      <c r="V78" s="392"/>
      <c r="W78" s="52"/>
      <c r="X78" s="444"/>
      <c r="Y78" s="444"/>
      <c r="Z78" s="392"/>
      <c r="AA78" s="198" t="s">
        <v>0</v>
      </c>
    </row>
    <row r="79" spans="1:30" ht="15.4" x14ac:dyDescent="0.45">
      <c r="A79" s="170"/>
      <c r="B79" s="171">
        <v>6800</v>
      </c>
      <c r="C79" s="172" t="s">
        <v>164</v>
      </c>
      <c r="D79" s="172"/>
      <c r="E79" s="543">
        <v>2850</v>
      </c>
      <c r="F79" s="177">
        <v>1214</v>
      </c>
      <c r="G79" s="459">
        <f t="shared" ref="G79:G80" si="16">(F79/7)*12</f>
        <v>2081.1428571428569</v>
      </c>
      <c r="H79" s="474"/>
      <c r="I79" s="214">
        <f>5000+3225</f>
        <v>8225</v>
      </c>
      <c r="J79" s="176"/>
      <c r="K79" s="173">
        <v>5000</v>
      </c>
      <c r="L79" s="394" t="s">
        <v>0</v>
      </c>
      <c r="M79" s="174">
        <v>0</v>
      </c>
      <c r="N79" s="396"/>
      <c r="O79" s="174">
        <v>0</v>
      </c>
      <c r="P79" s="396"/>
      <c r="Q79" s="174">
        <v>0</v>
      </c>
      <c r="R79" s="396"/>
      <c r="S79" s="468">
        <v>0</v>
      </c>
      <c r="T79" s="396" t="s">
        <v>0</v>
      </c>
      <c r="U79" s="177"/>
      <c r="V79" s="396"/>
      <c r="W79" s="177">
        <v>3225</v>
      </c>
      <c r="X79" s="437">
        <v>2018</v>
      </c>
      <c r="Y79" s="437">
        <v>659</v>
      </c>
      <c r="Z79" s="396" t="s">
        <v>0</v>
      </c>
      <c r="AA79" s="182">
        <f>+K79+M79+O79+Q79+S79+U79+W79</f>
        <v>8225</v>
      </c>
    </row>
    <row r="80" spans="1:30" ht="15.4" x14ac:dyDescent="0.45">
      <c r="A80" s="170"/>
      <c r="B80" s="171">
        <v>6810</v>
      </c>
      <c r="C80" s="172" t="s">
        <v>165</v>
      </c>
      <c r="D80" s="172"/>
      <c r="E80" s="536">
        <v>1784</v>
      </c>
      <c r="F80" s="188">
        <v>5896</v>
      </c>
      <c r="G80" s="463">
        <f t="shared" si="16"/>
        <v>10107.428571428572</v>
      </c>
      <c r="H80" s="469"/>
      <c r="I80" s="219">
        <v>4300</v>
      </c>
      <c r="J80" s="179"/>
      <c r="K80" s="403">
        <f>L80*I80</f>
        <v>1349.77</v>
      </c>
      <c r="L80" s="397">
        <v>0.31390000000000001</v>
      </c>
      <c r="M80" s="188">
        <v>0</v>
      </c>
      <c r="N80" s="405"/>
      <c r="O80" s="188">
        <v>0</v>
      </c>
      <c r="P80" s="405"/>
      <c r="Q80" s="188">
        <v>0</v>
      </c>
      <c r="R80" s="405"/>
      <c r="S80" s="529">
        <f>T80*I80</f>
        <v>896.55</v>
      </c>
      <c r="T80" s="405">
        <v>0.20849999999999999</v>
      </c>
      <c r="U80" s="185"/>
      <c r="V80" s="405"/>
      <c r="W80" s="177">
        <f>Z80*I80</f>
        <v>2053.6800000000003</v>
      </c>
      <c r="X80" s="441">
        <v>2001</v>
      </c>
      <c r="Y80" s="441">
        <v>3198</v>
      </c>
      <c r="Z80" s="405">
        <v>0.47760000000000002</v>
      </c>
      <c r="AA80" s="182">
        <f>+K80+M80+O80+Q80+S80+U80+W80</f>
        <v>4300</v>
      </c>
    </row>
    <row r="81" spans="1:30" ht="15.4" x14ac:dyDescent="0.45">
      <c r="A81" s="170"/>
      <c r="B81" s="171"/>
      <c r="C81" s="165" t="s">
        <v>166</v>
      </c>
      <c r="D81" s="165"/>
      <c r="E81" s="542">
        <f>SUM(E79:E80)</f>
        <v>4634</v>
      </c>
      <c r="F81" s="465">
        <f>SUM(F79:F80)</f>
        <v>7110</v>
      </c>
      <c r="G81" s="466">
        <f>SUM(G79:G80)</f>
        <v>12188.571428571429</v>
      </c>
      <c r="H81" s="475"/>
      <c r="I81" s="433">
        <f>SUM(I79:I80)</f>
        <v>12525</v>
      </c>
      <c r="J81" s="432"/>
      <c r="K81" s="206">
        <f>SUM(K79:K80)</f>
        <v>6349.77</v>
      </c>
      <c r="L81" s="383"/>
      <c r="M81" s="206">
        <f t="shared" ref="M81:AA81" si="17">SUM(M79:M80)</f>
        <v>0</v>
      </c>
      <c r="N81" s="383"/>
      <c r="O81" s="206">
        <f t="shared" si="17"/>
        <v>0</v>
      </c>
      <c r="P81" s="383"/>
      <c r="Q81" s="206">
        <f t="shared" si="17"/>
        <v>0</v>
      </c>
      <c r="R81" s="383"/>
      <c r="S81" s="206">
        <f t="shared" si="17"/>
        <v>896.55</v>
      </c>
      <c r="T81" s="383"/>
      <c r="U81" s="206">
        <f t="shared" si="17"/>
        <v>0</v>
      </c>
      <c r="V81" s="383"/>
      <c r="W81" s="206">
        <f t="shared" si="17"/>
        <v>5278.68</v>
      </c>
      <c r="X81" s="443">
        <f t="shared" si="17"/>
        <v>4019</v>
      </c>
      <c r="Y81" s="443">
        <f t="shared" si="17"/>
        <v>3857</v>
      </c>
      <c r="Z81" s="383"/>
      <c r="AA81" s="206">
        <f t="shared" si="17"/>
        <v>12525</v>
      </c>
      <c r="AD81" s="52">
        <f>+K81+M81+O81+Q81+S81+U81+W81</f>
        <v>12525</v>
      </c>
    </row>
    <row r="82" spans="1:30" ht="15.4" x14ac:dyDescent="0.45">
      <c r="A82" s="170"/>
      <c r="B82" s="171"/>
      <c r="C82" s="172"/>
      <c r="D82" s="172"/>
      <c r="E82" s="544"/>
      <c r="F82" s="196"/>
      <c r="G82" s="458"/>
      <c r="H82" s="472"/>
      <c r="I82" s="221"/>
      <c r="J82" s="220"/>
      <c r="K82" s="222"/>
      <c r="L82" s="386"/>
      <c r="M82" s="52"/>
      <c r="N82" s="392"/>
      <c r="O82" s="52"/>
      <c r="P82" s="392"/>
      <c r="Q82" s="52"/>
      <c r="R82" s="392"/>
      <c r="S82" s="530"/>
      <c r="T82" s="392"/>
      <c r="U82" s="52"/>
      <c r="V82" s="392"/>
      <c r="W82" s="52"/>
      <c r="X82" s="444"/>
      <c r="Y82" s="444"/>
      <c r="Z82" s="392"/>
      <c r="AA82" s="198" t="s">
        <v>0</v>
      </c>
    </row>
    <row r="83" spans="1:30" s="228" customFormat="1" ht="23.25" x14ac:dyDescent="0.7">
      <c r="A83" s="223"/>
      <c r="B83" s="171"/>
      <c r="C83" s="190" t="s">
        <v>167</v>
      </c>
      <c r="D83" s="190"/>
      <c r="E83" s="539">
        <f>+E33+E48+E58+E66+E76+E81</f>
        <v>2002728</v>
      </c>
      <c r="F83" s="224">
        <f>+F33+F48+F58+F66+F76+F81</f>
        <v>1843743</v>
      </c>
      <c r="G83" s="460">
        <f>+G33+G48+G58+G66+G76+G81</f>
        <v>3123788.7142857141</v>
      </c>
      <c r="H83" s="224"/>
      <c r="I83" s="225">
        <f>+I33+I48+I58+I66+I76+I81</f>
        <v>2008863.6267828802</v>
      </c>
      <c r="J83" s="224"/>
      <c r="K83" s="224">
        <f>+K33+K48+K58+K66+K76+K81</f>
        <v>299707.16500000004</v>
      </c>
      <c r="L83" s="387"/>
      <c r="M83" s="224">
        <f>+M33+M48+M58+M66+M76+M81</f>
        <v>158000</v>
      </c>
      <c r="N83" s="387"/>
      <c r="O83" s="224">
        <f>+O33+O48+O58+O66+O76+O81</f>
        <v>145000</v>
      </c>
      <c r="P83" s="387"/>
      <c r="Q83" s="224">
        <f>+Q33+Q48+Q58+Q66+Q76+Q81</f>
        <v>188000</v>
      </c>
      <c r="R83" s="387"/>
      <c r="S83" s="224">
        <f>+S33+S48+S58+S66+S76+S81</f>
        <v>122773.31112984</v>
      </c>
      <c r="T83" s="387"/>
      <c r="U83" s="224">
        <f>+U33+U48+U58+U66+U76+U81</f>
        <v>53600</v>
      </c>
      <c r="V83" s="387"/>
      <c r="W83" s="224">
        <f>+W33+W48+W58+W66+W76+W81</f>
        <v>1041782.8006530399</v>
      </c>
      <c r="X83" s="448">
        <f>+X33+X48+X58+X66+X76+X81</f>
        <v>943311</v>
      </c>
      <c r="Y83" s="448">
        <f>+Y33+Y48+Y58+Y66+Y76+Y81</f>
        <v>423096</v>
      </c>
      <c r="Z83" s="387"/>
      <c r="AA83" s="225">
        <f>+AA33+AA48+AA58+AA66+AA76+AA81</f>
        <v>2008863.2767828801</v>
      </c>
      <c r="AD83" s="52">
        <f>+K83+M83+O83+Q83+S83+U83+W83</f>
        <v>2008863.2767828801</v>
      </c>
    </row>
    <row r="84" spans="1:30" ht="15.4" x14ac:dyDescent="0.45">
      <c r="A84" s="170"/>
      <c r="B84" s="171"/>
      <c r="C84" s="172"/>
      <c r="D84" s="172"/>
      <c r="E84" s="545"/>
      <c r="F84" s="196"/>
      <c r="G84" s="458"/>
      <c r="H84" s="472"/>
      <c r="I84" s="230"/>
      <c r="J84" s="376"/>
      <c r="K84" s="231"/>
      <c r="L84" s="388"/>
      <c r="M84" s="52"/>
      <c r="N84" s="392"/>
      <c r="O84" s="52"/>
      <c r="P84" s="392"/>
      <c r="Q84" s="52"/>
      <c r="R84" s="392"/>
      <c r="S84" s="530"/>
      <c r="T84" s="392"/>
      <c r="U84" s="52"/>
      <c r="V84" s="392"/>
      <c r="W84" s="52"/>
      <c r="X84" s="444"/>
      <c r="Y84" s="444"/>
      <c r="Z84" s="392"/>
      <c r="AA84" s="198" t="s">
        <v>0</v>
      </c>
    </row>
    <row r="85" spans="1:30" ht="17.25" customHeight="1" x14ac:dyDescent="0.5">
      <c r="B85" s="98"/>
      <c r="C85" s="232"/>
      <c r="D85" s="232"/>
      <c r="E85" s="545"/>
      <c r="F85" s="196"/>
      <c r="G85" s="458"/>
      <c r="H85" s="472"/>
      <c r="I85" s="230" t="s">
        <v>0</v>
      </c>
      <c r="J85" s="376"/>
      <c r="K85" s="231"/>
      <c r="L85" s="388"/>
      <c r="M85" s="52"/>
      <c r="N85" s="392"/>
      <c r="O85" s="52"/>
      <c r="P85" s="392"/>
      <c r="Q85" s="52"/>
      <c r="R85" s="392"/>
      <c r="S85" s="530" t="s">
        <v>0</v>
      </c>
      <c r="T85" s="392"/>
      <c r="U85" s="52" t="s">
        <v>0</v>
      </c>
      <c r="V85" s="392"/>
      <c r="W85" s="52"/>
      <c r="X85" s="444"/>
      <c r="Y85" s="444"/>
      <c r="Z85" s="392"/>
      <c r="AA85" s="198" t="s">
        <v>0</v>
      </c>
    </row>
    <row r="86" spans="1:30" s="233" customFormat="1" ht="18.399999999999999" thickBot="1" x14ac:dyDescent="0.6">
      <c r="B86" s="234"/>
      <c r="C86" s="235" t="s">
        <v>168</v>
      </c>
      <c r="D86" s="235"/>
      <c r="E86" s="546">
        <f>+E24-E83</f>
        <v>-99608</v>
      </c>
      <c r="F86" s="238">
        <f>+F24-F83</f>
        <v>-69116</v>
      </c>
      <c r="G86" s="462">
        <f>+G24-G83</f>
        <v>-1667719.7142857141</v>
      </c>
      <c r="H86" s="476"/>
      <c r="I86" s="461">
        <f>+I24-I83</f>
        <v>-77305.826129840221</v>
      </c>
      <c r="J86" s="476"/>
      <c r="K86" s="238">
        <f>+K24-K83</f>
        <v>-61911.165000000037</v>
      </c>
      <c r="L86" s="389"/>
      <c r="M86" s="238">
        <f>+M24-M83</f>
        <v>0</v>
      </c>
      <c r="N86" s="389"/>
      <c r="O86" s="238">
        <f>+O24-O83</f>
        <v>0</v>
      </c>
      <c r="P86" s="389"/>
      <c r="Q86" s="238">
        <f>+Q24-Q83</f>
        <v>0</v>
      </c>
      <c r="R86" s="389"/>
      <c r="S86" s="476">
        <f>+S24-S83</f>
        <v>-15394.311129840004</v>
      </c>
      <c r="T86" s="389"/>
      <c r="U86" s="238">
        <f>+U24-U83</f>
        <v>0</v>
      </c>
      <c r="V86" s="389"/>
      <c r="W86" s="238">
        <f>+W24-W83</f>
        <v>0</v>
      </c>
      <c r="X86" s="449">
        <f>+X24-X83</f>
        <v>59523</v>
      </c>
      <c r="Y86" s="449">
        <f>+Y24-Y83</f>
        <v>12161</v>
      </c>
      <c r="Z86" s="389"/>
      <c r="AA86" s="238">
        <f>+AA24-AA83</f>
        <v>-77305.476129840128</v>
      </c>
      <c r="AB86" s="240" t="s">
        <v>0</v>
      </c>
      <c r="AC86" s="233" t="s">
        <v>0</v>
      </c>
      <c r="AD86" s="52">
        <f>+K86+M86+O86+Q86+S86+U86+W86</f>
        <v>-77305.476129840041</v>
      </c>
    </row>
    <row r="87" spans="1:30" ht="16.149999999999999" thickTop="1" x14ac:dyDescent="0.5">
      <c r="B87" s="234"/>
      <c r="C87" s="232"/>
      <c r="D87" s="232"/>
      <c r="E87" s="229"/>
      <c r="F87" s="196"/>
      <c r="G87" s="196"/>
      <c r="H87" s="472"/>
      <c r="I87" s="376"/>
      <c r="J87" s="376"/>
      <c r="K87" s="229"/>
      <c r="L87" s="229"/>
      <c r="M87" s="178"/>
      <c r="N87" s="178"/>
      <c r="O87" s="178"/>
      <c r="P87" s="178"/>
      <c r="Q87" s="178"/>
      <c r="R87" s="178"/>
      <c r="S87" s="248"/>
    </row>
    <row r="88" spans="1:30" x14ac:dyDescent="0.5">
      <c r="B88" s="98"/>
      <c r="C88" s="150"/>
      <c r="D88" s="150"/>
      <c r="E88" s="229"/>
      <c r="F88" s="196"/>
      <c r="G88" s="196"/>
      <c r="H88" s="472"/>
      <c r="I88" s="229"/>
      <c r="J88" s="376"/>
      <c r="K88" s="229"/>
      <c r="L88" s="229"/>
      <c r="M88" s="178"/>
      <c r="N88" s="178"/>
      <c r="O88" s="178"/>
      <c r="P88" s="178"/>
      <c r="Q88" s="178"/>
      <c r="R88" s="178"/>
      <c r="S88" s="532"/>
      <c r="T88" s="241"/>
      <c r="U88" s="241"/>
      <c r="V88" s="241"/>
    </row>
    <row r="89" spans="1:30" x14ac:dyDescent="0.5">
      <c r="B89" s="98"/>
      <c r="E89" s="229"/>
      <c r="F89" s="196"/>
      <c r="G89" s="196"/>
      <c r="H89" s="472"/>
      <c r="I89" s="229"/>
      <c r="J89" s="376"/>
      <c r="K89" s="229"/>
      <c r="L89" s="229"/>
      <c r="M89" s="178"/>
      <c r="N89" s="178"/>
      <c r="O89" s="178"/>
      <c r="P89" s="178"/>
      <c r="Q89" s="178"/>
      <c r="R89" s="178"/>
      <c r="S89" s="532"/>
      <c r="T89" s="241"/>
      <c r="U89" s="241"/>
      <c r="V89" s="241"/>
    </row>
    <row r="90" spans="1:30" x14ac:dyDescent="0.45">
      <c r="B90" s="98"/>
      <c r="C90" s="242" t="s">
        <v>0</v>
      </c>
      <c r="D90" s="242"/>
      <c r="E90" s="229"/>
      <c r="F90" s="196"/>
      <c r="G90" s="196"/>
      <c r="H90" s="472"/>
      <c r="I90" s="229"/>
      <c r="J90" s="376"/>
      <c r="K90" s="229"/>
      <c r="L90" s="229"/>
      <c r="M90" s="178"/>
      <c r="N90" s="178"/>
      <c r="O90" s="178"/>
      <c r="P90" s="178"/>
      <c r="Q90" s="178"/>
      <c r="R90" s="178"/>
      <c r="S90" s="530"/>
      <c r="T90" s="6"/>
      <c r="U90" s="52"/>
      <c r="V90" s="52"/>
      <c r="W90" s="198"/>
      <c r="X90" s="198"/>
      <c r="Y90" s="198"/>
    </row>
    <row r="91" spans="1:30" x14ac:dyDescent="0.5">
      <c r="B91" s="98"/>
      <c r="E91" s="229"/>
      <c r="F91" s="196"/>
      <c r="G91" s="196"/>
      <c r="H91" s="472"/>
      <c r="I91" s="229"/>
      <c r="J91" s="376"/>
      <c r="K91" s="229"/>
      <c r="L91" s="229"/>
      <c r="M91" s="178"/>
      <c r="N91" s="178"/>
      <c r="O91" s="178"/>
      <c r="P91" s="178"/>
      <c r="Q91" s="178"/>
      <c r="R91" s="178"/>
      <c r="S91" s="530"/>
      <c r="T91" s="6"/>
      <c r="U91" s="52"/>
      <c r="V91" s="52"/>
      <c r="W91" s="198"/>
      <c r="X91" s="198"/>
      <c r="Y91" s="198"/>
      <c r="AA91" s="52"/>
    </row>
    <row r="92" spans="1:30" x14ac:dyDescent="0.45">
      <c r="B92" s="243"/>
      <c r="C92" s="242"/>
      <c r="D92" s="242"/>
      <c r="E92" s="229"/>
      <c r="F92" s="196"/>
      <c r="G92" s="196"/>
      <c r="H92" s="472"/>
      <c r="I92" s="229"/>
      <c r="J92" s="376"/>
      <c r="K92" s="229"/>
      <c r="L92" s="229"/>
      <c r="M92" s="178"/>
      <c r="N92" s="178"/>
      <c r="O92" s="178"/>
      <c r="P92" s="178"/>
      <c r="Q92" s="178"/>
      <c r="R92" s="178"/>
      <c r="S92" s="530"/>
      <c r="T92" s="52"/>
      <c r="U92" s="52"/>
      <c r="V92" s="52"/>
    </row>
    <row r="93" spans="1:30" x14ac:dyDescent="0.5">
      <c r="B93" s="98"/>
      <c r="E93" s="229"/>
      <c r="F93" s="196"/>
      <c r="G93" s="196"/>
      <c r="H93" s="472"/>
      <c r="I93" s="229"/>
      <c r="J93" s="376"/>
      <c r="K93" s="229"/>
      <c r="L93" s="229"/>
      <c r="M93" s="178"/>
      <c r="N93" s="178"/>
      <c r="O93" s="178"/>
      <c r="P93" s="178"/>
      <c r="Q93" s="178"/>
      <c r="R93" s="178"/>
      <c r="S93" s="530"/>
      <c r="T93" s="52"/>
      <c r="U93" s="52"/>
      <c r="V93" s="52"/>
    </row>
    <row r="94" spans="1:30" x14ac:dyDescent="0.5">
      <c r="B94" s="98"/>
      <c r="E94" s="244"/>
      <c r="F94" s="196"/>
      <c r="G94" s="196"/>
      <c r="H94" s="472"/>
      <c r="I94" s="244"/>
      <c r="J94" s="478"/>
      <c r="K94" s="244"/>
      <c r="L94" s="244"/>
      <c r="M94" s="178"/>
      <c r="N94" s="178"/>
      <c r="O94" s="178"/>
      <c r="P94" s="178"/>
      <c r="Q94" s="178"/>
      <c r="R94" s="178"/>
      <c r="S94" s="530"/>
      <c r="T94" s="52"/>
      <c r="U94" s="52"/>
      <c r="V94" s="52"/>
    </row>
    <row r="95" spans="1:30" x14ac:dyDescent="0.5">
      <c r="B95" s="98"/>
      <c r="E95" s="244"/>
      <c r="F95" s="196"/>
      <c r="G95" s="196"/>
      <c r="H95" s="472"/>
      <c r="I95" s="244"/>
      <c r="J95" s="478"/>
      <c r="K95" s="244"/>
      <c r="L95" s="244"/>
      <c r="M95" s="178"/>
      <c r="N95" s="178"/>
      <c r="O95" s="178"/>
      <c r="P95" s="178"/>
      <c r="Q95" s="178"/>
      <c r="R95" s="178"/>
      <c r="S95" s="530"/>
      <c r="T95" s="52"/>
      <c r="U95" s="52"/>
      <c r="V95" s="52"/>
    </row>
    <row r="96" spans="1:30" x14ac:dyDescent="0.5">
      <c r="B96" s="98"/>
      <c r="E96" s="244"/>
      <c r="F96" s="196"/>
      <c r="G96" s="196"/>
      <c r="H96" s="472"/>
      <c r="I96" s="244"/>
      <c r="J96" s="478"/>
      <c r="K96" s="244"/>
      <c r="L96" s="244"/>
      <c r="M96" s="178"/>
      <c r="N96" s="178"/>
      <c r="O96" s="178"/>
      <c r="P96" s="178"/>
      <c r="Q96" s="178"/>
      <c r="R96" s="178"/>
      <c r="S96" s="530"/>
      <c r="T96" s="52"/>
      <c r="U96" s="52"/>
      <c r="V96" s="52"/>
    </row>
    <row r="97" spans="2:20" x14ac:dyDescent="0.5">
      <c r="B97" s="98"/>
      <c r="E97" s="244"/>
      <c r="F97" s="196"/>
      <c r="G97" s="196"/>
      <c r="H97" s="472"/>
      <c r="I97" s="244"/>
      <c r="J97" s="478"/>
      <c r="K97" s="244"/>
      <c r="L97" s="244"/>
      <c r="M97" s="7"/>
      <c r="N97" s="7"/>
      <c r="O97" s="7"/>
      <c r="P97" s="7"/>
      <c r="Q97" s="7"/>
      <c r="R97" s="7"/>
      <c r="S97" s="248"/>
    </row>
    <row r="98" spans="2:20" x14ac:dyDescent="0.5">
      <c r="B98" s="98"/>
      <c r="E98" s="244"/>
      <c r="F98" s="395"/>
      <c r="G98" s="196"/>
      <c r="H98" s="472"/>
      <c r="I98" s="244"/>
      <c r="J98" s="478"/>
      <c r="K98" s="244"/>
      <c r="L98" s="244"/>
      <c r="M98" s="7"/>
      <c r="N98" s="7"/>
      <c r="O98" s="7"/>
      <c r="P98" s="7"/>
      <c r="Q98" s="7"/>
      <c r="R98" s="7"/>
      <c r="S98" s="532"/>
      <c r="T98" s="241"/>
    </row>
    <row r="99" spans="2:20" x14ac:dyDescent="0.5">
      <c r="B99" s="98"/>
      <c r="E99" s="244"/>
      <c r="F99" s="395"/>
      <c r="G99" s="196"/>
      <c r="H99" s="472"/>
      <c r="I99" s="244"/>
      <c r="J99" s="478"/>
      <c r="K99" s="244"/>
      <c r="L99" s="244"/>
      <c r="M99" s="7"/>
      <c r="N99" s="7"/>
      <c r="O99" s="7"/>
      <c r="P99" s="7"/>
      <c r="Q99" s="7"/>
      <c r="R99" s="7"/>
      <c r="S99" s="248"/>
    </row>
    <row r="100" spans="2:20" x14ac:dyDescent="0.5">
      <c r="B100" s="98"/>
      <c r="E100" s="244"/>
      <c r="F100" s="395"/>
      <c r="G100" s="395"/>
      <c r="H100" s="477"/>
      <c r="I100" s="244"/>
      <c r="J100" s="478"/>
      <c r="K100" s="244"/>
      <c r="L100" s="244"/>
      <c r="M100" s="7"/>
      <c r="N100" s="7"/>
      <c r="O100" s="7"/>
      <c r="P100" s="7"/>
      <c r="Q100" s="7"/>
      <c r="R100" s="7"/>
      <c r="S100" s="248"/>
    </row>
    <row r="101" spans="2:20" x14ac:dyDescent="0.5">
      <c r="B101" s="98"/>
      <c r="E101" s="244"/>
      <c r="F101" s="395"/>
      <c r="G101" s="196"/>
      <c r="H101" s="472"/>
      <c r="I101" s="244"/>
      <c r="J101" s="478"/>
      <c r="K101" s="244"/>
      <c r="L101" s="244"/>
      <c r="M101" s="7"/>
      <c r="N101" s="7"/>
      <c r="O101" s="7"/>
      <c r="P101" s="7"/>
      <c r="Q101" s="7"/>
      <c r="R101" s="7"/>
      <c r="S101" s="248"/>
    </row>
    <row r="102" spans="2:20" x14ac:dyDescent="0.5">
      <c r="B102" s="98"/>
      <c r="E102" s="244"/>
      <c r="F102" s="395"/>
      <c r="G102" s="196"/>
      <c r="H102" s="472"/>
      <c r="I102" s="244"/>
      <c r="J102" s="478"/>
      <c r="K102" s="244"/>
      <c r="L102" s="244"/>
      <c r="M102" s="7"/>
      <c r="N102" s="7"/>
      <c r="O102" s="7"/>
      <c r="P102" s="7"/>
      <c r="Q102" s="7"/>
      <c r="R102" s="7"/>
      <c r="S102" s="248"/>
    </row>
    <row r="103" spans="2:20" x14ac:dyDescent="0.5">
      <c r="B103" s="98"/>
      <c r="E103" s="244"/>
      <c r="F103" s="395"/>
      <c r="G103" s="196"/>
      <c r="H103" s="472"/>
      <c r="I103" s="244"/>
      <c r="J103" s="478"/>
      <c r="K103" s="244"/>
      <c r="L103" s="244"/>
      <c r="M103" s="7"/>
      <c r="N103" s="7"/>
      <c r="O103" s="7"/>
      <c r="P103" s="7"/>
      <c r="Q103" s="7"/>
      <c r="R103" s="7"/>
      <c r="S103" s="248"/>
    </row>
    <row r="104" spans="2:20" x14ac:dyDescent="0.5">
      <c r="B104" s="19"/>
      <c r="E104" s="244"/>
      <c r="F104" s="244"/>
      <c r="G104" s="244"/>
      <c r="H104" s="478"/>
      <c r="I104" s="244"/>
      <c r="J104" s="478"/>
      <c r="K104" s="244"/>
      <c r="L104" s="244"/>
      <c r="M104" s="7"/>
      <c r="N104" s="7"/>
      <c r="O104" s="7"/>
      <c r="P104" s="7"/>
      <c r="Q104" s="7"/>
      <c r="R104" s="7"/>
      <c r="S104" s="248"/>
    </row>
    <row r="105" spans="2:20" x14ac:dyDescent="0.5">
      <c r="B105" s="149"/>
      <c r="E105" s="244"/>
      <c r="F105" s="244"/>
      <c r="G105" s="244"/>
      <c r="H105" s="478"/>
      <c r="I105" s="244"/>
      <c r="J105" s="478"/>
      <c r="K105" s="244"/>
      <c r="L105" s="244"/>
      <c r="M105" s="7"/>
      <c r="N105" s="7"/>
      <c r="O105" s="7"/>
      <c r="P105" s="7"/>
      <c r="Q105" s="7"/>
      <c r="R105" s="7"/>
      <c r="S105" s="248"/>
    </row>
    <row r="106" spans="2:20" x14ac:dyDescent="0.5">
      <c r="B106" s="149"/>
      <c r="E106" s="244"/>
      <c r="F106" s="244"/>
      <c r="G106" s="244"/>
      <c r="H106" s="478"/>
      <c r="I106" s="244"/>
      <c r="J106" s="478"/>
      <c r="K106" s="244"/>
      <c r="L106" s="244"/>
      <c r="M106" s="7"/>
      <c r="N106" s="7"/>
      <c r="O106" s="7"/>
      <c r="P106" s="7"/>
      <c r="Q106" s="7"/>
      <c r="R106" s="7"/>
      <c r="S106" s="248"/>
    </row>
    <row r="107" spans="2:20" x14ac:dyDescent="0.5">
      <c r="B107" s="149"/>
      <c r="E107" s="244"/>
      <c r="F107" s="244"/>
      <c r="G107" s="244"/>
      <c r="H107" s="478"/>
      <c r="I107" s="244"/>
      <c r="J107" s="478"/>
      <c r="K107" s="244"/>
      <c r="L107" s="244"/>
      <c r="M107" s="7"/>
      <c r="N107" s="7"/>
      <c r="O107" s="7"/>
      <c r="P107" s="7"/>
      <c r="Q107" s="7"/>
      <c r="R107" s="7"/>
      <c r="S107" s="248"/>
    </row>
    <row r="108" spans="2:20" x14ac:dyDescent="0.5">
      <c r="B108" s="149"/>
      <c r="E108" s="244"/>
      <c r="F108" s="244"/>
      <c r="G108" s="244"/>
      <c r="H108" s="478"/>
      <c r="I108" s="244"/>
      <c r="J108" s="478"/>
      <c r="K108" s="244"/>
      <c r="L108" s="244"/>
      <c r="M108" s="7"/>
      <c r="N108" s="7"/>
      <c r="O108" s="7"/>
      <c r="P108" s="7"/>
      <c r="Q108" s="7"/>
      <c r="R108" s="7"/>
      <c r="S108" s="248"/>
    </row>
    <row r="109" spans="2:20" x14ac:dyDescent="0.5">
      <c r="B109" s="149"/>
      <c r="E109" s="244"/>
      <c r="F109" s="244"/>
      <c r="G109" s="244"/>
      <c r="H109" s="478"/>
      <c r="I109" s="244"/>
      <c r="J109" s="478"/>
      <c r="K109" s="244"/>
      <c r="L109" s="244"/>
      <c r="M109" s="7"/>
      <c r="N109" s="7"/>
      <c r="O109" s="7"/>
      <c r="P109" s="7"/>
      <c r="Q109" s="7"/>
      <c r="R109" s="7"/>
      <c r="S109" s="248"/>
    </row>
    <row r="110" spans="2:20" x14ac:dyDescent="0.5">
      <c r="B110" s="149"/>
      <c r="E110" s="244"/>
      <c r="F110" s="244"/>
      <c r="G110" s="244"/>
      <c r="H110" s="478"/>
      <c r="I110" s="244"/>
      <c r="J110" s="478"/>
      <c r="K110" s="244"/>
      <c r="L110" s="244"/>
      <c r="M110" s="7"/>
      <c r="N110" s="7"/>
      <c r="O110" s="7"/>
      <c r="P110" s="7"/>
      <c r="Q110" s="7"/>
      <c r="R110" s="7"/>
      <c r="S110" s="248"/>
    </row>
    <row r="111" spans="2:20" x14ac:dyDescent="0.5">
      <c r="B111" s="149"/>
      <c r="E111" s="246"/>
      <c r="F111" s="246"/>
      <c r="G111" s="246"/>
      <c r="H111" s="479"/>
      <c r="I111" s="246"/>
      <c r="J111" s="479"/>
      <c r="K111" s="246"/>
      <c r="L111" s="246"/>
      <c r="M111" s="7"/>
      <c r="N111" s="7"/>
      <c r="O111" s="7"/>
      <c r="P111" s="7"/>
      <c r="Q111" s="7"/>
      <c r="R111" s="7"/>
      <c r="S111" s="248"/>
    </row>
    <row r="112" spans="2:20" x14ac:dyDescent="0.5">
      <c r="B112" s="149"/>
      <c r="E112" s="246"/>
      <c r="F112" s="246"/>
      <c r="G112" s="246"/>
      <c r="H112" s="479"/>
      <c r="I112" s="246"/>
      <c r="J112" s="479"/>
      <c r="K112" s="246"/>
      <c r="L112" s="246"/>
      <c r="M112" s="7"/>
      <c r="N112" s="7"/>
      <c r="O112" s="7"/>
      <c r="P112" s="7"/>
      <c r="Q112" s="7"/>
      <c r="R112" s="7"/>
      <c r="S112" s="248"/>
    </row>
    <row r="113" spans="2:19" x14ac:dyDescent="0.5">
      <c r="B113" s="149"/>
      <c r="E113" s="246"/>
      <c r="F113" s="246"/>
      <c r="G113" s="246"/>
      <c r="H113" s="479"/>
      <c r="I113" s="246"/>
      <c r="J113" s="246"/>
      <c r="K113" s="246"/>
      <c r="L113" s="246"/>
      <c r="M113" s="7"/>
      <c r="N113" s="7"/>
      <c r="O113" s="7"/>
      <c r="P113" s="7"/>
      <c r="Q113" s="7"/>
      <c r="R113" s="7"/>
      <c r="S113" s="248"/>
    </row>
    <row r="114" spans="2:19" x14ac:dyDescent="0.5">
      <c r="B114" s="149"/>
      <c r="E114" s="246"/>
      <c r="F114" s="246"/>
      <c r="G114" s="246"/>
      <c r="H114" s="479"/>
      <c r="I114" s="246"/>
      <c r="J114" s="246"/>
      <c r="K114" s="246"/>
      <c r="L114" s="246"/>
      <c r="S114" s="248"/>
    </row>
    <row r="115" spans="2:19" x14ac:dyDescent="0.5">
      <c r="B115" s="149"/>
      <c r="E115" s="246"/>
      <c r="F115" s="246"/>
      <c r="G115" s="246"/>
      <c r="H115" s="479"/>
      <c r="I115" s="246"/>
      <c r="J115" s="246"/>
      <c r="K115" s="246"/>
      <c r="L115" s="246"/>
      <c r="S115" s="248"/>
    </row>
    <row r="116" spans="2:19" x14ac:dyDescent="0.5">
      <c r="B116" s="149"/>
      <c r="E116" s="246"/>
      <c r="F116" s="246"/>
      <c r="G116" s="246"/>
      <c r="H116" s="479"/>
      <c r="I116" s="246"/>
      <c r="J116" s="246"/>
      <c r="K116" s="246"/>
      <c r="L116" s="246"/>
      <c r="S116" s="248"/>
    </row>
    <row r="117" spans="2:19" x14ac:dyDescent="0.5">
      <c r="B117" s="149"/>
      <c r="E117" s="246"/>
      <c r="F117" s="246"/>
      <c r="G117" s="246"/>
      <c r="H117" s="479"/>
      <c r="I117" s="246"/>
      <c r="J117" s="246"/>
      <c r="K117" s="246"/>
      <c r="L117" s="246"/>
      <c r="S117" s="248"/>
    </row>
    <row r="118" spans="2:19" x14ac:dyDescent="0.5">
      <c r="B118" s="149"/>
      <c r="E118" s="246"/>
      <c r="F118" s="246"/>
      <c r="G118" s="246"/>
      <c r="H118" s="479"/>
      <c r="I118" s="246"/>
      <c r="J118" s="246"/>
      <c r="K118" s="246"/>
      <c r="L118" s="246"/>
      <c r="S118" s="248"/>
    </row>
    <row r="119" spans="2:19" x14ac:dyDescent="0.5">
      <c r="B119" s="149"/>
      <c r="E119" s="246"/>
      <c r="F119" s="246"/>
      <c r="G119" s="246"/>
      <c r="H119" s="479"/>
      <c r="I119" s="246"/>
      <c r="J119" s="246"/>
      <c r="K119" s="246"/>
      <c r="L119" s="246"/>
      <c r="S119" s="248"/>
    </row>
    <row r="120" spans="2:19" x14ac:dyDescent="0.5">
      <c r="B120" s="149"/>
      <c r="E120" s="246"/>
      <c r="F120" s="246"/>
      <c r="G120" s="246"/>
      <c r="H120" s="479"/>
      <c r="I120" s="246"/>
      <c r="J120" s="246"/>
      <c r="K120" s="246"/>
      <c r="L120" s="246"/>
      <c r="S120" s="248"/>
    </row>
    <row r="121" spans="2:19" x14ac:dyDescent="0.5">
      <c r="B121" s="149"/>
      <c r="E121" s="246"/>
      <c r="F121" s="246"/>
      <c r="G121" s="246"/>
      <c r="H121" s="479"/>
      <c r="I121" s="246"/>
      <c r="J121" s="246"/>
      <c r="K121" s="246"/>
      <c r="L121" s="246"/>
      <c r="S121" s="248"/>
    </row>
    <row r="122" spans="2:19" x14ac:dyDescent="0.5">
      <c r="B122" s="149"/>
      <c r="E122" s="246"/>
      <c r="F122" s="246"/>
      <c r="G122" s="246"/>
      <c r="H122" s="479"/>
      <c r="I122" s="246"/>
      <c r="J122" s="246"/>
      <c r="K122" s="246"/>
      <c r="L122" s="246"/>
      <c r="S122" s="248"/>
    </row>
    <row r="123" spans="2:19" x14ac:dyDescent="0.5">
      <c r="B123" s="149"/>
      <c r="E123" s="246"/>
      <c r="F123" s="246"/>
      <c r="G123" s="246"/>
      <c r="H123" s="479"/>
      <c r="I123" s="246"/>
      <c r="J123" s="246"/>
      <c r="K123" s="246"/>
      <c r="L123" s="246"/>
      <c r="S123" s="248"/>
    </row>
    <row r="124" spans="2:19" x14ac:dyDescent="0.5">
      <c r="B124" s="149"/>
      <c r="E124" s="246"/>
      <c r="F124" s="246"/>
      <c r="G124" s="246"/>
      <c r="H124" s="479"/>
      <c r="I124" s="246"/>
      <c r="J124" s="246"/>
      <c r="K124" s="246"/>
      <c r="L124" s="246"/>
      <c r="S124" s="248"/>
    </row>
    <row r="125" spans="2:19" x14ac:dyDescent="0.5">
      <c r="B125" s="149"/>
      <c r="E125" s="246"/>
      <c r="F125" s="246"/>
      <c r="G125" s="246"/>
      <c r="H125" s="246"/>
      <c r="I125" s="246"/>
      <c r="J125" s="246"/>
      <c r="K125" s="246"/>
      <c r="L125" s="246"/>
      <c r="S125" s="248"/>
    </row>
    <row r="126" spans="2:19" x14ac:dyDescent="0.5">
      <c r="B126" s="149"/>
      <c r="E126" s="246"/>
      <c r="F126" s="246"/>
      <c r="G126" s="246"/>
      <c r="H126" s="246"/>
      <c r="I126" s="246"/>
      <c r="J126" s="246"/>
      <c r="K126" s="246"/>
      <c r="L126" s="246"/>
      <c r="S126" s="248"/>
    </row>
    <row r="127" spans="2:19" x14ac:dyDescent="0.5">
      <c r="B127" s="149"/>
      <c r="E127" s="246"/>
      <c r="F127" s="246"/>
      <c r="G127" s="246"/>
      <c r="H127" s="246"/>
      <c r="I127" s="246"/>
      <c r="J127" s="246"/>
      <c r="K127" s="246"/>
      <c r="L127" s="246"/>
      <c r="S127" s="248"/>
    </row>
    <row r="128" spans="2:19" x14ac:dyDescent="0.5">
      <c r="B128" s="149"/>
      <c r="E128" s="246"/>
      <c r="F128" s="246"/>
      <c r="G128" s="246"/>
      <c r="H128" s="246"/>
      <c r="I128" s="246"/>
      <c r="J128" s="246"/>
      <c r="K128" s="246"/>
      <c r="L128" s="246"/>
      <c r="S128" s="248"/>
    </row>
    <row r="129" spans="2:19" x14ac:dyDescent="0.5">
      <c r="B129" s="149"/>
      <c r="E129" s="246"/>
      <c r="F129" s="246"/>
      <c r="G129" s="246"/>
      <c r="H129" s="246"/>
      <c r="I129" s="246"/>
      <c r="J129" s="246"/>
      <c r="K129" s="246"/>
      <c r="L129" s="246"/>
      <c r="S129" s="248"/>
    </row>
    <row r="130" spans="2:19" x14ac:dyDescent="0.5">
      <c r="B130" s="149"/>
      <c r="E130" s="246"/>
      <c r="F130" s="246"/>
      <c r="G130" s="246"/>
      <c r="H130" s="246"/>
      <c r="I130" s="246"/>
      <c r="J130" s="246"/>
      <c r="K130" s="246"/>
      <c r="L130" s="246"/>
      <c r="S130" s="248"/>
    </row>
    <row r="131" spans="2:19" x14ac:dyDescent="0.5">
      <c r="B131" s="149"/>
      <c r="E131" s="246"/>
      <c r="F131" s="246"/>
      <c r="G131" s="246"/>
      <c r="H131" s="246"/>
      <c r="I131" s="246"/>
      <c r="J131" s="246"/>
      <c r="K131" s="246"/>
      <c r="L131" s="246"/>
      <c r="S131" s="248"/>
    </row>
    <row r="132" spans="2:19" x14ac:dyDescent="0.5">
      <c r="B132" s="149"/>
      <c r="E132" s="246"/>
      <c r="F132" s="246"/>
      <c r="G132" s="246"/>
      <c r="H132" s="246"/>
      <c r="I132" s="246"/>
      <c r="J132" s="246"/>
      <c r="K132" s="246"/>
      <c r="L132" s="246"/>
      <c r="S132" s="248"/>
    </row>
    <row r="133" spans="2:19" x14ac:dyDescent="0.5">
      <c r="B133" s="149"/>
      <c r="E133" s="246"/>
      <c r="F133" s="246"/>
      <c r="G133" s="246"/>
      <c r="H133" s="246"/>
      <c r="I133" s="246"/>
      <c r="J133" s="246"/>
      <c r="K133" s="246"/>
      <c r="L133" s="246"/>
      <c r="S133" s="248"/>
    </row>
    <row r="134" spans="2:19" x14ac:dyDescent="0.5">
      <c r="B134" s="149"/>
      <c r="E134" s="246"/>
      <c r="F134" s="246"/>
      <c r="G134" s="246"/>
      <c r="H134" s="246"/>
      <c r="I134" s="246"/>
      <c r="J134" s="246"/>
      <c r="K134" s="246"/>
      <c r="L134" s="246"/>
      <c r="S134" s="248"/>
    </row>
    <row r="135" spans="2:19" x14ac:dyDescent="0.5">
      <c r="B135" s="149"/>
      <c r="E135" s="246"/>
      <c r="F135" s="246"/>
      <c r="G135" s="246"/>
      <c r="H135" s="246"/>
      <c r="I135" s="246"/>
      <c r="J135" s="246"/>
      <c r="K135" s="246"/>
      <c r="L135" s="246"/>
      <c r="S135" s="248"/>
    </row>
    <row r="136" spans="2:19" x14ac:dyDescent="0.5">
      <c r="B136" s="149"/>
      <c r="E136" s="246"/>
      <c r="F136" s="246"/>
      <c r="G136" s="246"/>
      <c r="H136" s="246"/>
      <c r="I136" s="246"/>
      <c r="J136" s="246"/>
      <c r="K136" s="246"/>
      <c r="L136" s="246"/>
      <c r="S136" s="248"/>
    </row>
    <row r="137" spans="2:19" x14ac:dyDescent="0.5">
      <c r="B137" s="149"/>
      <c r="E137" s="246"/>
      <c r="F137" s="246"/>
      <c r="G137" s="246"/>
      <c r="H137" s="246"/>
      <c r="I137" s="246"/>
      <c r="J137" s="246"/>
      <c r="K137" s="246"/>
      <c r="L137" s="246"/>
      <c r="S137" s="248"/>
    </row>
    <row r="138" spans="2:19" x14ac:dyDescent="0.5">
      <c r="B138" s="149"/>
      <c r="E138" s="246"/>
      <c r="F138" s="246"/>
      <c r="G138" s="246"/>
      <c r="H138" s="246"/>
      <c r="I138" s="246"/>
      <c r="J138" s="246"/>
      <c r="K138" s="246"/>
      <c r="L138" s="246"/>
      <c r="S138" s="248"/>
    </row>
    <row r="139" spans="2:19" x14ac:dyDescent="0.5">
      <c r="B139" s="149"/>
      <c r="E139" s="246"/>
      <c r="F139" s="246"/>
      <c r="G139" s="246"/>
      <c r="H139" s="246"/>
      <c r="I139" s="246"/>
      <c r="J139" s="246"/>
      <c r="K139" s="246"/>
      <c r="L139" s="246"/>
      <c r="S139" s="248"/>
    </row>
    <row r="140" spans="2:19" x14ac:dyDescent="0.5">
      <c r="B140" s="149"/>
      <c r="E140" s="246"/>
      <c r="F140" s="246"/>
      <c r="G140" s="246"/>
      <c r="H140" s="246"/>
      <c r="I140" s="246"/>
      <c r="J140" s="246"/>
      <c r="K140" s="246"/>
      <c r="L140" s="246"/>
      <c r="S140" s="248"/>
    </row>
    <row r="141" spans="2:19" x14ac:dyDescent="0.5">
      <c r="B141" s="149"/>
      <c r="E141" s="246"/>
      <c r="F141" s="246"/>
      <c r="G141" s="246"/>
      <c r="H141" s="246"/>
      <c r="I141" s="246"/>
      <c r="J141" s="246"/>
      <c r="K141" s="246"/>
      <c r="L141" s="246"/>
      <c r="S141" s="248"/>
    </row>
    <row r="142" spans="2:19" x14ac:dyDescent="0.5">
      <c r="B142" s="149"/>
      <c r="E142" s="246"/>
      <c r="F142" s="246"/>
      <c r="G142" s="246"/>
      <c r="H142" s="246"/>
      <c r="I142" s="246"/>
      <c r="J142" s="246"/>
      <c r="K142" s="246"/>
      <c r="L142" s="246"/>
      <c r="S142" s="248"/>
    </row>
    <row r="143" spans="2:19" x14ac:dyDescent="0.5">
      <c r="B143" s="149"/>
      <c r="E143" s="246"/>
      <c r="F143" s="246"/>
      <c r="G143" s="246"/>
      <c r="H143" s="246"/>
      <c r="I143" s="246"/>
      <c r="J143" s="246"/>
      <c r="K143" s="246"/>
      <c r="L143" s="246"/>
      <c r="S143" s="248"/>
    </row>
    <row r="144" spans="2:19" x14ac:dyDescent="0.5">
      <c r="B144" s="149"/>
      <c r="E144" s="246"/>
      <c r="F144" s="246"/>
      <c r="G144" s="246"/>
      <c r="H144" s="246"/>
      <c r="I144" s="246"/>
      <c r="J144" s="246"/>
      <c r="K144" s="246"/>
      <c r="L144" s="246"/>
      <c r="S144" s="248"/>
    </row>
    <row r="145" spans="2:19" x14ac:dyDescent="0.5">
      <c r="B145" s="149"/>
      <c r="E145" s="246"/>
      <c r="F145" s="246"/>
      <c r="G145" s="246"/>
      <c r="H145" s="246"/>
      <c r="I145" s="246"/>
      <c r="J145" s="246"/>
      <c r="K145" s="246"/>
      <c r="L145" s="246"/>
      <c r="S145" s="248"/>
    </row>
    <row r="146" spans="2:19" x14ac:dyDescent="0.5">
      <c r="B146" s="149"/>
      <c r="E146" s="246"/>
      <c r="F146" s="246"/>
      <c r="G146" s="246"/>
      <c r="H146" s="246"/>
      <c r="I146" s="246"/>
      <c r="J146" s="246"/>
      <c r="K146" s="246"/>
      <c r="L146" s="246"/>
      <c r="S146" s="248"/>
    </row>
    <row r="147" spans="2:19" x14ac:dyDescent="0.5">
      <c r="B147" s="149"/>
      <c r="E147" s="246"/>
      <c r="F147" s="246"/>
      <c r="G147" s="246"/>
      <c r="H147" s="246"/>
      <c r="I147" s="246"/>
      <c r="J147" s="246"/>
      <c r="K147" s="246"/>
      <c r="L147" s="246"/>
      <c r="S147" s="248"/>
    </row>
    <row r="148" spans="2:19" x14ac:dyDescent="0.5">
      <c r="B148" s="149"/>
      <c r="E148" s="246"/>
      <c r="F148" s="246"/>
      <c r="G148" s="246"/>
      <c r="H148" s="246"/>
      <c r="I148" s="246"/>
      <c r="J148" s="246"/>
      <c r="K148" s="246"/>
      <c r="L148" s="246"/>
      <c r="S148" s="248"/>
    </row>
    <row r="149" spans="2:19" x14ac:dyDescent="0.5">
      <c r="B149" s="149"/>
      <c r="E149" s="246"/>
      <c r="F149" s="246"/>
      <c r="G149" s="246"/>
      <c r="H149" s="246"/>
      <c r="I149" s="246"/>
      <c r="J149" s="246"/>
      <c r="K149" s="246"/>
      <c r="L149" s="246"/>
      <c r="S149" s="248"/>
    </row>
    <row r="150" spans="2:19" x14ac:dyDescent="0.5">
      <c r="B150" s="149"/>
      <c r="E150" s="246"/>
      <c r="F150" s="246"/>
      <c r="G150" s="246"/>
      <c r="H150" s="246"/>
      <c r="I150" s="246"/>
      <c r="J150" s="246"/>
      <c r="K150" s="246"/>
      <c r="L150" s="246"/>
      <c r="S150" s="248"/>
    </row>
    <row r="151" spans="2:19" x14ac:dyDescent="0.5">
      <c r="B151" s="149"/>
      <c r="E151" s="246"/>
      <c r="F151" s="246"/>
      <c r="G151" s="246"/>
      <c r="H151" s="246"/>
      <c r="I151" s="246"/>
      <c r="J151" s="246"/>
      <c r="K151" s="246"/>
      <c r="L151" s="246"/>
      <c r="S151" s="248"/>
    </row>
    <row r="152" spans="2:19" x14ac:dyDescent="0.5">
      <c r="B152" s="149"/>
      <c r="E152" s="246"/>
      <c r="F152" s="246"/>
      <c r="G152" s="246"/>
      <c r="H152" s="246"/>
      <c r="I152" s="246"/>
      <c r="J152" s="246"/>
      <c r="K152" s="246"/>
      <c r="L152" s="246"/>
    </row>
    <row r="153" spans="2:19" x14ac:dyDescent="0.5">
      <c r="B153" s="149"/>
      <c r="E153" s="246"/>
      <c r="F153" s="246"/>
      <c r="G153" s="246"/>
      <c r="H153" s="246"/>
      <c r="I153" s="246"/>
      <c r="J153" s="246"/>
      <c r="K153" s="246"/>
      <c r="L153" s="246"/>
    </row>
    <row r="154" spans="2:19" x14ac:dyDescent="0.5">
      <c r="B154" s="149"/>
      <c r="E154" s="246"/>
      <c r="F154" s="246"/>
      <c r="G154" s="246"/>
      <c r="H154" s="246"/>
      <c r="I154" s="246"/>
      <c r="J154" s="246"/>
      <c r="K154" s="246"/>
      <c r="L154" s="246"/>
    </row>
    <row r="155" spans="2:19" x14ac:dyDescent="0.5">
      <c r="B155" s="149"/>
      <c r="E155" s="246"/>
      <c r="F155" s="246"/>
      <c r="G155" s="246"/>
      <c r="H155" s="246"/>
      <c r="I155" s="246"/>
      <c r="J155" s="246"/>
      <c r="K155" s="246"/>
      <c r="L155" s="246"/>
    </row>
    <row r="156" spans="2:19" x14ac:dyDescent="0.5">
      <c r="B156" s="149"/>
      <c r="E156" s="246"/>
      <c r="F156" s="246"/>
      <c r="G156" s="246"/>
      <c r="H156" s="246"/>
      <c r="I156" s="246"/>
      <c r="J156" s="246"/>
      <c r="K156" s="246"/>
      <c r="L156" s="246"/>
    </row>
    <row r="157" spans="2:19" x14ac:dyDescent="0.5">
      <c r="B157" s="149"/>
      <c r="E157" s="246"/>
      <c r="F157" s="246"/>
      <c r="G157" s="246"/>
      <c r="H157" s="246"/>
      <c r="I157" s="246"/>
      <c r="J157" s="246"/>
      <c r="K157" s="246"/>
      <c r="L157" s="246"/>
    </row>
    <row r="158" spans="2:19" x14ac:dyDescent="0.5">
      <c r="B158" s="149"/>
      <c r="E158" s="246"/>
      <c r="F158" s="246"/>
      <c r="G158" s="246"/>
      <c r="H158" s="246"/>
      <c r="I158" s="246"/>
      <c r="J158" s="246"/>
      <c r="K158" s="246"/>
      <c r="L158" s="246"/>
    </row>
    <row r="159" spans="2:19" x14ac:dyDescent="0.5">
      <c r="B159" s="149"/>
      <c r="E159" s="246"/>
      <c r="F159" s="246"/>
      <c r="G159" s="246"/>
      <c r="H159" s="246"/>
      <c r="I159" s="246"/>
      <c r="J159" s="246"/>
      <c r="K159" s="246"/>
      <c r="L159" s="246"/>
    </row>
    <row r="160" spans="2:19" x14ac:dyDescent="0.5">
      <c r="B160" s="149"/>
      <c r="E160" s="246"/>
      <c r="F160" s="246"/>
      <c r="G160" s="246"/>
      <c r="H160" s="246"/>
      <c r="I160" s="246"/>
      <c r="J160" s="246"/>
      <c r="K160" s="246"/>
      <c r="L160" s="246"/>
    </row>
    <row r="161" spans="2:12" x14ac:dyDescent="0.5">
      <c r="B161" s="149"/>
      <c r="E161" s="246"/>
      <c r="F161" s="246"/>
      <c r="G161" s="246"/>
      <c r="H161" s="246"/>
      <c r="I161" s="246"/>
      <c r="J161" s="246"/>
      <c r="K161" s="246"/>
      <c r="L161" s="246"/>
    </row>
    <row r="162" spans="2:12" x14ac:dyDescent="0.5">
      <c r="B162" s="149"/>
      <c r="E162" s="246"/>
      <c r="F162" s="246"/>
      <c r="G162" s="246"/>
      <c r="H162" s="246"/>
      <c r="I162" s="246"/>
      <c r="J162" s="246"/>
      <c r="K162" s="246"/>
      <c r="L162" s="246"/>
    </row>
    <row r="163" spans="2:12" x14ac:dyDescent="0.5">
      <c r="B163" s="149"/>
      <c r="E163" s="246"/>
      <c r="F163" s="246"/>
      <c r="G163" s="246"/>
      <c r="H163" s="246"/>
      <c r="I163" s="246"/>
      <c r="J163" s="246"/>
      <c r="K163" s="246"/>
      <c r="L163" s="246"/>
    </row>
    <row r="164" spans="2:12" x14ac:dyDescent="0.5">
      <c r="B164" s="149"/>
      <c r="E164" s="246"/>
      <c r="F164" s="246"/>
      <c r="G164" s="246"/>
      <c r="H164" s="246"/>
      <c r="I164" s="246"/>
      <c r="J164" s="246"/>
      <c r="K164" s="246"/>
      <c r="L164" s="246"/>
    </row>
    <row r="165" spans="2:12" x14ac:dyDescent="0.5">
      <c r="B165" s="149"/>
      <c r="E165" s="246"/>
      <c r="F165" s="246"/>
      <c r="G165" s="246"/>
      <c r="H165" s="246"/>
      <c r="I165" s="246"/>
      <c r="J165" s="246"/>
      <c r="K165" s="246"/>
      <c r="L165" s="246"/>
    </row>
    <row r="166" spans="2:12" x14ac:dyDescent="0.5">
      <c r="B166" s="149"/>
      <c r="E166" s="246"/>
      <c r="F166" s="246"/>
      <c r="G166" s="246"/>
      <c r="H166" s="246"/>
      <c r="I166" s="246"/>
      <c r="J166" s="246"/>
      <c r="K166" s="246"/>
      <c r="L166" s="246"/>
    </row>
    <row r="167" spans="2:12" x14ac:dyDescent="0.5">
      <c r="B167" s="149"/>
      <c r="E167" s="246"/>
      <c r="F167" s="246"/>
      <c r="G167" s="246"/>
      <c r="H167" s="246"/>
      <c r="I167" s="246"/>
      <c r="J167" s="246"/>
      <c r="K167" s="246"/>
      <c r="L167" s="246"/>
    </row>
    <row r="168" spans="2:12" x14ac:dyDescent="0.5">
      <c r="B168" s="149"/>
      <c r="E168" s="246"/>
      <c r="F168" s="246"/>
      <c r="G168" s="246"/>
      <c r="H168" s="246"/>
      <c r="I168" s="246"/>
      <c r="J168" s="246"/>
      <c r="K168" s="246"/>
      <c r="L168" s="246"/>
    </row>
    <row r="169" spans="2:12" x14ac:dyDescent="0.5">
      <c r="B169" s="149"/>
      <c r="E169" s="246"/>
      <c r="F169" s="246"/>
      <c r="G169" s="246"/>
      <c r="H169" s="246"/>
      <c r="I169" s="246"/>
      <c r="J169" s="246"/>
      <c r="K169" s="246"/>
      <c r="L169" s="246"/>
    </row>
    <row r="170" spans="2:12" x14ac:dyDescent="0.5">
      <c r="B170" s="149"/>
      <c r="E170" s="246"/>
      <c r="F170" s="246"/>
      <c r="G170" s="246"/>
      <c r="H170" s="246"/>
      <c r="I170" s="246"/>
      <c r="J170" s="246"/>
      <c r="K170" s="246"/>
      <c r="L170" s="246"/>
    </row>
    <row r="171" spans="2:12" x14ac:dyDescent="0.5">
      <c r="B171" s="149"/>
      <c r="E171" s="246"/>
      <c r="F171" s="246"/>
      <c r="G171" s="246"/>
      <c r="H171" s="246"/>
      <c r="I171" s="246"/>
      <c r="J171" s="246"/>
      <c r="K171" s="246"/>
      <c r="L171" s="246"/>
    </row>
    <row r="172" spans="2:12" x14ac:dyDescent="0.5">
      <c r="B172" s="149"/>
      <c r="E172" s="246"/>
      <c r="F172" s="246"/>
      <c r="G172" s="246"/>
      <c r="H172" s="246"/>
      <c r="I172" s="246"/>
      <c r="J172" s="246"/>
      <c r="K172" s="246"/>
      <c r="L172" s="246"/>
    </row>
    <row r="173" spans="2:12" x14ac:dyDescent="0.5">
      <c r="B173" s="149"/>
      <c r="E173" s="246"/>
      <c r="F173" s="246"/>
      <c r="G173" s="246"/>
      <c r="H173" s="246"/>
      <c r="I173" s="246"/>
      <c r="J173" s="246"/>
      <c r="K173" s="246"/>
      <c r="L173" s="246"/>
    </row>
    <row r="174" spans="2:12" x14ac:dyDescent="0.5">
      <c r="B174" s="149"/>
      <c r="E174" s="246"/>
      <c r="F174" s="246"/>
      <c r="G174" s="246"/>
      <c r="H174" s="246"/>
      <c r="I174" s="246"/>
      <c r="J174" s="246"/>
      <c r="K174" s="246"/>
      <c r="L174" s="246"/>
    </row>
    <row r="175" spans="2:12" x14ac:dyDescent="0.5">
      <c r="B175" s="149"/>
      <c r="E175" s="246"/>
      <c r="F175" s="246"/>
      <c r="G175" s="246"/>
      <c r="H175" s="246"/>
      <c r="I175" s="246"/>
      <c r="J175" s="246"/>
      <c r="K175" s="246"/>
      <c r="L175" s="246"/>
    </row>
    <row r="176" spans="2:12" x14ac:dyDescent="0.5">
      <c r="B176" s="149"/>
      <c r="E176" s="246"/>
      <c r="F176" s="246"/>
      <c r="G176" s="246"/>
      <c r="H176" s="246"/>
      <c r="I176" s="246"/>
      <c r="J176" s="246"/>
      <c r="K176" s="246"/>
      <c r="L176" s="246"/>
    </row>
    <row r="177" spans="2:12" x14ac:dyDescent="0.5">
      <c r="B177" s="149"/>
      <c r="E177" s="246"/>
      <c r="F177" s="246"/>
      <c r="G177" s="246"/>
      <c r="H177" s="246"/>
      <c r="I177" s="246"/>
      <c r="J177" s="246"/>
      <c r="K177" s="246"/>
      <c r="L177" s="246"/>
    </row>
    <row r="178" spans="2:12" x14ac:dyDescent="0.5">
      <c r="B178" s="149"/>
      <c r="E178" s="246"/>
      <c r="F178" s="246"/>
      <c r="G178" s="246"/>
      <c r="H178" s="246"/>
      <c r="I178" s="246"/>
      <c r="J178" s="246"/>
      <c r="K178" s="246"/>
      <c r="L178" s="246"/>
    </row>
    <row r="179" spans="2:12" x14ac:dyDescent="0.5">
      <c r="B179" s="149"/>
      <c r="E179" s="246"/>
      <c r="F179" s="246"/>
      <c r="G179" s="246"/>
      <c r="H179" s="246"/>
      <c r="I179" s="246"/>
      <c r="J179" s="246"/>
      <c r="K179" s="246"/>
      <c r="L179" s="246"/>
    </row>
    <row r="180" spans="2:12" x14ac:dyDescent="0.5">
      <c r="B180" s="149"/>
      <c r="E180" s="247"/>
      <c r="F180" s="247"/>
      <c r="G180" s="247"/>
      <c r="H180" s="247"/>
      <c r="I180" s="247"/>
      <c r="J180" s="247"/>
      <c r="K180" s="247"/>
      <c r="L180" s="247"/>
    </row>
    <row r="181" spans="2:12" x14ac:dyDescent="0.5">
      <c r="B181" s="149"/>
      <c r="E181" s="247"/>
      <c r="F181" s="247"/>
      <c r="G181" s="247"/>
      <c r="H181" s="247"/>
      <c r="I181" s="247"/>
      <c r="J181" s="247"/>
      <c r="K181" s="247"/>
      <c r="L181" s="247"/>
    </row>
    <row r="182" spans="2:12" x14ac:dyDescent="0.5">
      <c r="B182" s="149"/>
      <c r="E182" s="247"/>
      <c r="F182" s="247"/>
      <c r="G182" s="247"/>
      <c r="H182" s="247"/>
      <c r="I182" s="247"/>
      <c r="J182" s="247"/>
      <c r="K182" s="247"/>
      <c r="L182" s="247"/>
    </row>
    <row r="183" spans="2:12" x14ac:dyDescent="0.5">
      <c r="B183" s="149"/>
      <c r="E183" s="247"/>
      <c r="F183" s="247"/>
      <c r="G183" s="247"/>
      <c r="H183" s="247"/>
      <c r="I183" s="247"/>
      <c r="J183" s="247"/>
      <c r="K183" s="247"/>
      <c r="L183" s="247"/>
    </row>
    <row r="184" spans="2:12" x14ac:dyDescent="0.5">
      <c r="B184" s="149"/>
      <c r="E184" s="247"/>
      <c r="F184" s="247"/>
      <c r="G184" s="247"/>
      <c r="H184" s="247"/>
      <c r="I184" s="247"/>
      <c r="J184" s="247"/>
      <c r="K184" s="247"/>
      <c r="L184" s="247"/>
    </row>
    <row r="185" spans="2:12" x14ac:dyDescent="0.5">
      <c r="B185" s="149"/>
      <c r="E185" s="247"/>
      <c r="F185" s="247"/>
      <c r="G185" s="247"/>
      <c r="H185" s="247"/>
      <c r="I185" s="247"/>
      <c r="J185" s="247"/>
      <c r="K185" s="247"/>
      <c r="L185" s="247"/>
    </row>
    <row r="186" spans="2:12" x14ac:dyDescent="0.5">
      <c r="B186" s="149"/>
      <c r="E186" s="247"/>
      <c r="F186" s="247"/>
      <c r="G186" s="247"/>
      <c r="H186" s="247"/>
      <c r="I186" s="247"/>
      <c r="J186" s="247"/>
      <c r="K186" s="247"/>
      <c r="L186" s="247"/>
    </row>
    <row r="187" spans="2:12" x14ac:dyDescent="0.5">
      <c r="B187" s="149"/>
      <c r="E187" s="247"/>
      <c r="F187" s="247"/>
      <c r="G187" s="247"/>
      <c r="H187" s="247"/>
      <c r="I187" s="247"/>
      <c r="J187" s="247"/>
      <c r="K187" s="247"/>
      <c r="L187" s="247"/>
    </row>
    <row r="188" spans="2:12" x14ac:dyDescent="0.5">
      <c r="B188" s="149"/>
      <c r="E188" s="247"/>
      <c r="F188" s="247"/>
      <c r="G188" s="247"/>
      <c r="H188" s="247"/>
      <c r="I188" s="247"/>
      <c r="J188" s="247"/>
      <c r="K188" s="247"/>
      <c r="L188" s="247"/>
    </row>
    <row r="189" spans="2:12" x14ac:dyDescent="0.5">
      <c r="B189" s="149"/>
      <c r="E189" s="247"/>
      <c r="F189" s="247"/>
      <c r="G189" s="247"/>
      <c r="H189" s="247"/>
      <c r="I189" s="247"/>
      <c r="J189" s="247"/>
      <c r="K189" s="247"/>
      <c r="L189" s="247"/>
    </row>
    <row r="190" spans="2:12" x14ac:dyDescent="0.5">
      <c r="B190" s="149"/>
      <c r="E190" s="247"/>
      <c r="F190" s="247"/>
      <c r="G190" s="247"/>
      <c r="H190" s="247"/>
      <c r="I190" s="247"/>
      <c r="J190" s="247"/>
      <c r="K190" s="247"/>
      <c r="L190" s="247"/>
    </row>
    <row r="191" spans="2:12" x14ac:dyDescent="0.5">
      <c r="B191" s="149"/>
      <c r="E191" s="247"/>
      <c r="F191" s="247"/>
      <c r="G191" s="247"/>
      <c r="H191" s="247"/>
      <c r="I191" s="247"/>
      <c r="J191" s="247"/>
      <c r="K191" s="247"/>
      <c r="L191" s="247"/>
    </row>
    <row r="192" spans="2:12" x14ac:dyDescent="0.5">
      <c r="B192" s="149"/>
      <c r="E192" s="247"/>
      <c r="F192" s="247"/>
      <c r="G192" s="247"/>
      <c r="H192" s="247"/>
      <c r="I192" s="247"/>
      <c r="J192" s="247"/>
      <c r="K192" s="247"/>
      <c r="L192" s="247"/>
    </row>
    <row r="193" spans="2:12" x14ac:dyDescent="0.5">
      <c r="B193" s="149"/>
      <c r="E193" s="247"/>
      <c r="F193" s="247"/>
      <c r="G193" s="247"/>
      <c r="H193" s="247"/>
      <c r="I193" s="247"/>
      <c r="J193" s="247"/>
      <c r="K193" s="247"/>
      <c r="L193" s="247"/>
    </row>
    <row r="194" spans="2:12" x14ac:dyDescent="0.5">
      <c r="B194" s="149"/>
      <c r="E194" s="247"/>
      <c r="F194" s="247"/>
      <c r="G194" s="247"/>
      <c r="H194" s="247"/>
      <c r="I194" s="247"/>
      <c r="J194" s="247"/>
      <c r="K194" s="247"/>
      <c r="L194" s="247"/>
    </row>
    <row r="195" spans="2:12" x14ac:dyDescent="0.5">
      <c r="B195" s="149"/>
      <c r="E195" s="247"/>
      <c r="F195" s="247"/>
      <c r="G195" s="247"/>
      <c r="H195" s="247"/>
      <c r="I195" s="247"/>
      <c r="J195" s="247"/>
      <c r="K195" s="247"/>
      <c r="L195" s="247"/>
    </row>
    <row r="196" spans="2:12" x14ac:dyDescent="0.5">
      <c r="B196" s="149"/>
      <c r="E196" s="247"/>
      <c r="F196" s="247"/>
      <c r="G196" s="247"/>
      <c r="H196" s="247"/>
      <c r="I196" s="247"/>
      <c r="J196" s="247"/>
      <c r="K196" s="247"/>
      <c r="L196" s="247"/>
    </row>
    <row r="197" spans="2:12" x14ac:dyDescent="0.5">
      <c r="B197" s="149"/>
      <c r="E197" s="247"/>
      <c r="F197" s="247"/>
      <c r="G197" s="247"/>
      <c r="H197" s="247"/>
      <c r="I197" s="247"/>
      <c r="J197" s="247"/>
      <c r="K197" s="247"/>
      <c r="L197" s="247"/>
    </row>
    <row r="198" spans="2:12" x14ac:dyDescent="0.5">
      <c r="B198" s="149"/>
      <c r="E198" s="247"/>
      <c r="F198" s="247"/>
      <c r="G198" s="247"/>
      <c r="H198" s="247"/>
      <c r="I198" s="247"/>
      <c r="J198" s="247"/>
      <c r="K198" s="247"/>
      <c r="L198" s="247"/>
    </row>
    <row r="199" spans="2:12" x14ac:dyDescent="0.5">
      <c r="B199" s="149"/>
      <c r="E199" s="247"/>
      <c r="F199" s="247"/>
      <c r="G199" s="247"/>
      <c r="H199" s="247"/>
      <c r="I199" s="247"/>
      <c r="J199" s="247"/>
      <c r="K199" s="247"/>
      <c r="L199" s="247"/>
    </row>
    <row r="200" spans="2:12" x14ac:dyDescent="0.5">
      <c r="B200" s="149"/>
      <c r="E200" s="247"/>
      <c r="F200" s="247"/>
      <c r="G200" s="247"/>
      <c r="H200" s="247"/>
      <c r="I200" s="247"/>
      <c r="J200" s="247"/>
      <c r="K200" s="247"/>
      <c r="L200" s="247"/>
    </row>
    <row r="201" spans="2:12" x14ac:dyDescent="0.5">
      <c r="B201" s="149"/>
      <c r="E201" s="247"/>
      <c r="F201" s="247"/>
      <c r="G201" s="247"/>
      <c r="H201" s="247"/>
      <c r="I201" s="247"/>
      <c r="J201" s="247"/>
      <c r="K201" s="247"/>
      <c r="L201" s="247"/>
    </row>
    <row r="202" spans="2:12" x14ac:dyDescent="0.5">
      <c r="B202" s="149"/>
      <c r="E202" s="247"/>
      <c r="F202" s="247"/>
      <c r="G202" s="247"/>
      <c r="H202" s="247"/>
      <c r="I202" s="247"/>
      <c r="J202" s="247"/>
      <c r="K202" s="247"/>
      <c r="L202" s="247"/>
    </row>
    <row r="203" spans="2:12" x14ac:dyDescent="0.5">
      <c r="B203" s="149"/>
      <c r="E203" s="247"/>
      <c r="F203" s="247"/>
      <c r="G203" s="247"/>
      <c r="H203" s="247"/>
      <c r="I203" s="247"/>
      <c r="J203" s="247"/>
      <c r="K203" s="247"/>
      <c r="L203" s="247"/>
    </row>
    <row r="204" spans="2:12" x14ac:dyDescent="0.5">
      <c r="B204" s="149"/>
      <c r="E204" s="247"/>
      <c r="F204" s="247"/>
      <c r="G204" s="247"/>
      <c r="H204" s="247"/>
      <c r="I204" s="247"/>
      <c r="J204" s="247"/>
      <c r="K204" s="247"/>
      <c r="L204" s="247"/>
    </row>
    <row r="205" spans="2:12" x14ac:dyDescent="0.5">
      <c r="B205" s="149"/>
      <c r="E205" s="247"/>
      <c r="F205" s="247"/>
      <c r="G205" s="247"/>
      <c r="H205" s="247"/>
      <c r="I205" s="247"/>
      <c r="J205" s="247"/>
      <c r="K205" s="247"/>
      <c r="L205" s="247"/>
    </row>
    <row r="206" spans="2:12" x14ac:dyDescent="0.5">
      <c r="B206" s="149"/>
      <c r="E206" s="247"/>
      <c r="F206" s="247"/>
      <c r="G206" s="247"/>
      <c r="H206" s="247"/>
      <c r="I206" s="247"/>
      <c r="J206" s="247"/>
      <c r="K206" s="247"/>
      <c r="L206" s="247"/>
    </row>
    <row r="207" spans="2:12" x14ac:dyDescent="0.5">
      <c r="B207" s="149"/>
      <c r="E207" s="247"/>
      <c r="F207" s="247"/>
      <c r="G207" s="247"/>
      <c r="H207" s="247"/>
      <c r="I207" s="247"/>
      <c r="J207" s="247"/>
      <c r="K207" s="247"/>
      <c r="L207" s="247"/>
    </row>
    <row r="208" spans="2:12" x14ac:dyDescent="0.5">
      <c r="B208" s="149"/>
      <c r="E208" s="247"/>
      <c r="F208" s="247"/>
      <c r="G208" s="247"/>
      <c r="H208" s="247"/>
      <c r="I208" s="247"/>
      <c r="J208" s="247"/>
      <c r="K208" s="247"/>
      <c r="L208" s="247"/>
    </row>
    <row r="209" spans="2:12" x14ac:dyDescent="0.5">
      <c r="B209" s="149"/>
      <c r="E209" s="247"/>
      <c r="F209" s="247"/>
      <c r="G209" s="247"/>
      <c r="H209" s="247"/>
      <c r="I209" s="247"/>
      <c r="J209" s="247"/>
      <c r="K209" s="247"/>
      <c r="L209" s="247"/>
    </row>
    <row r="210" spans="2:12" x14ac:dyDescent="0.5">
      <c r="B210" s="149"/>
      <c r="E210" s="247"/>
      <c r="F210" s="247"/>
      <c r="G210" s="247"/>
      <c r="H210" s="247"/>
      <c r="I210" s="247"/>
      <c r="J210" s="247"/>
      <c r="K210" s="247"/>
      <c r="L210" s="247"/>
    </row>
    <row r="211" spans="2:12" x14ac:dyDescent="0.5">
      <c r="B211" s="149"/>
      <c r="E211" s="247"/>
      <c r="F211" s="247"/>
      <c r="G211" s="247"/>
      <c r="H211" s="247"/>
      <c r="I211" s="247"/>
      <c r="J211" s="247"/>
      <c r="K211" s="247"/>
      <c r="L211" s="247"/>
    </row>
    <row r="212" spans="2:12" x14ac:dyDescent="0.5">
      <c r="B212" s="149"/>
      <c r="E212" s="247"/>
      <c r="F212" s="247"/>
      <c r="G212" s="247"/>
      <c r="H212" s="247"/>
      <c r="I212" s="247"/>
      <c r="J212" s="247"/>
      <c r="K212" s="247"/>
      <c r="L212" s="247"/>
    </row>
    <row r="213" spans="2:12" x14ac:dyDescent="0.5">
      <c r="B213" s="149"/>
      <c r="E213" s="247"/>
      <c r="F213" s="247"/>
      <c r="G213" s="247"/>
      <c r="H213" s="247"/>
      <c r="I213" s="247"/>
      <c r="J213" s="247"/>
      <c r="K213" s="247"/>
      <c r="L213" s="247"/>
    </row>
    <row r="214" spans="2:12" x14ac:dyDescent="0.5">
      <c r="B214" s="149"/>
      <c r="E214" s="247"/>
      <c r="F214" s="247"/>
      <c r="G214" s="247"/>
      <c r="H214" s="247"/>
      <c r="I214" s="247"/>
      <c r="J214" s="247"/>
      <c r="K214" s="247"/>
      <c r="L214" s="247"/>
    </row>
    <row r="215" spans="2:12" x14ac:dyDescent="0.5">
      <c r="B215" s="149"/>
      <c r="E215" s="247"/>
      <c r="F215" s="247"/>
      <c r="G215" s="247"/>
      <c r="H215" s="247"/>
      <c r="I215" s="247"/>
      <c r="J215" s="247"/>
      <c r="K215" s="247"/>
      <c r="L215" s="247"/>
    </row>
    <row r="216" spans="2:12" x14ac:dyDescent="0.5">
      <c r="B216" s="149"/>
      <c r="E216" s="247"/>
      <c r="F216" s="247"/>
      <c r="G216" s="247"/>
      <c r="H216" s="247"/>
      <c r="I216" s="247"/>
      <c r="J216" s="247"/>
      <c r="K216" s="247"/>
      <c r="L216" s="247"/>
    </row>
    <row r="217" spans="2:12" x14ac:dyDescent="0.5">
      <c r="B217" s="149"/>
      <c r="E217" s="247"/>
      <c r="F217" s="247"/>
      <c r="G217" s="247"/>
      <c r="H217" s="247"/>
      <c r="I217" s="247"/>
      <c r="J217" s="247"/>
      <c r="K217" s="247"/>
      <c r="L217" s="247"/>
    </row>
    <row r="218" spans="2:12" x14ac:dyDescent="0.5">
      <c r="B218" s="149"/>
      <c r="E218" s="247"/>
      <c r="F218" s="247"/>
      <c r="G218" s="247"/>
      <c r="H218" s="247"/>
      <c r="I218" s="247"/>
      <c r="J218" s="247"/>
      <c r="K218" s="247"/>
      <c r="L218" s="247"/>
    </row>
    <row r="219" spans="2:12" x14ac:dyDescent="0.5">
      <c r="B219" s="149"/>
      <c r="E219" s="247"/>
      <c r="F219" s="247"/>
      <c r="G219" s="247"/>
      <c r="H219" s="247"/>
      <c r="I219" s="247"/>
      <c r="J219" s="247"/>
      <c r="K219" s="247"/>
      <c r="L219" s="247"/>
    </row>
    <row r="220" spans="2:12" x14ac:dyDescent="0.5">
      <c r="B220" s="149"/>
      <c r="E220" s="247"/>
      <c r="F220" s="247"/>
      <c r="G220" s="247"/>
      <c r="H220" s="247"/>
      <c r="I220" s="247"/>
      <c r="J220" s="247"/>
      <c r="K220" s="247"/>
      <c r="L220" s="247"/>
    </row>
    <row r="221" spans="2:12" x14ac:dyDescent="0.5">
      <c r="B221" s="149"/>
      <c r="E221" s="247"/>
      <c r="F221" s="247"/>
      <c r="G221" s="247"/>
      <c r="H221" s="247"/>
      <c r="I221" s="247"/>
      <c r="J221" s="247"/>
      <c r="K221" s="247"/>
      <c r="L221" s="247"/>
    </row>
    <row r="222" spans="2:12" x14ac:dyDescent="0.5">
      <c r="B222" s="149"/>
      <c r="E222" s="247"/>
      <c r="F222" s="247"/>
      <c r="G222" s="247"/>
      <c r="H222" s="247"/>
      <c r="I222" s="247"/>
      <c r="J222" s="247"/>
      <c r="K222" s="247"/>
      <c r="L222" s="247"/>
    </row>
    <row r="223" spans="2:12" x14ac:dyDescent="0.5">
      <c r="B223" s="149"/>
      <c r="E223" s="247"/>
      <c r="F223" s="247"/>
      <c r="G223" s="247"/>
      <c r="H223" s="247"/>
      <c r="I223" s="247"/>
      <c r="J223" s="247"/>
      <c r="K223" s="247"/>
      <c r="L223" s="247"/>
    </row>
    <row r="224" spans="2:12" x14ac:dyDescent="0.5">
      <c r="B224" s="149"/>
      <c r="E224" s="247"/>
      <c r="F224" s="247"/>
      <c r="G224" s="247"/>
      <c r="H224" s="247"/>
      <c r="I224" s="247"/>
      <c r="J224" s="247"/>
      <c r="K224" s="247"/>
      <c r="L224" s="247"/>
    </row>
    <row r="225" spans="2:12" x14ac:dyDescent="0.5">
      <c r="B225" s="149"/>
      <c r="E225" s="247"/>
      <c r="F225" s="247"/>
      <c r="G225" s="247"/>
      <c r="H225" s="247"/>
      <c r="I225" s="247"/>
      <c r="J225" s="247"/>
      <c r="K225" s="247"/>
      <c r="L225" s="247"/>
    </row>
    <row r="226" spans="2:12" x14ac:dyDescent="0.5">
      <c r="B226" s="149"/>
      <c r="E226" s="247"/>
      <c r="F226" s="247"/>
      <c r="G226" s="247"/>
      <c r="H226" s="247"/>
      <c r="I226" s="247"/>
      <c r="J226" s="247"/>
      <c r="K226" s="247"/>
      <c r="L226" s="247"/>
    </row>
    <row r="227" spans="2:12" x14ac:dyDescent="0.5">
      <c r="B227" s="149"/>
      <c r="E227" s="247"/>
      <c r="F227" s="247"/>
      <c r="G227" s="247"/>
      <c r="H227" s="247"/>
      <c r="I227" s="247"/>
      <c r="J227" s="247"/>
      <c r="K227" s="247"/>
      <c r="L227" s="247"/>
    </row>
    <row r="228" spans="2:12" x14ac:dyDescent="0.5">
      <c r="B228" s="149"/>
      <c r="E228" s="247"/>
      <c r="F228" s="247"/>
      <c r="G228" s="247"/>
      <c r="H228" s="247"/>
      <c r="I228" s="247"/>
      <c r="J228" s="247"/>
      <c r="K228" s="247"/>
      <c r="L228" s="247"/>
    </row>
    <row r="229" spans="2:12" x14ac:dyDescent="0.5">
      <c r="B229" s="149"/>
      <c r="E229" s="247"/>
      <c r="F229" s="247"/>
      <c r="G229" s="247"/>
      <c r="H229" s="247"/>
      <c r="I229" s="247"/>
      <c r="J229" s="247"/>
      <c r="K229" s="247"/>
      <c r="L229" s="247"/>
    </row>
    <row r="230" spans="2:12" x14ac:dyDescent="0.5">
      <c r="B230" s="149"/>
      <c r="E230" s="247"/>
      <c r="F230" s="247"/>
      <c r="G230" s="247"/>
      <c r="H230" s="247"/>
      <c r="I230" s="247"/>
      <c r="J230" s="247"/>
      <c r="K230" s="247"/>
      <c r="L230" s="247"/>
    </row>
    <row r="231" spans="2:12" x14ac:dyDescent="0.5">
      <c r="B231" s="149"/>
      <c r="E231" s="247"/>
      <c r="F231" s="247"/>
      <c r="G231" s="247"/>
      <c r="H231" s="247"/>
      <c r="I231" s="247"/>
      <c r="J231" s="247"/>
      <c r="K231" s="247"/>
      <c r="L231" s="247"/>
    </row>
    <row r="232" spans="2:12" x14ac:dyDescent="0.5">
      <c r="B232" s="149"/>
      <c r="E232" s="247"/>
      <c r="F232" s="247"/>
      <c r="G232" s="247"/>
      <c r="H232" s="247"/>
      <c r="I232" s="247"/>
      <c r="J232" s="247"/>
      <c r="K232" s="247"/>
      <c r="L232" s="247"/>
    </row>
    <row r="233" spans="2:12" x14ac:dyDescent="0.5">
      <c r="B233" s="149"/>
      <c r="E233" s="247"/>
      <c r="F233" s="247"/>
      <c r="G233" s="247"/>
      <c r="H233" s="247"/>
      <c r="I233" s="247"/>
      <c r="J233" s="247"/>
      <c r="K233" s="247"/>
      <c r="L233" s="247"/>
    </row>
    <row r="234" spans="2:12" x14ac:dyDescent="0.5">
      <c r="B234" s="149"/>
      <c r="E234" s="247"/>
      <c r="F234" s="247"/>
      <c r="G234" s="247"/>
      <c r="H234" s="247"/>
      <c r="I234" s="247"/>
      <c r="J234" s="247"/>
      <c r="K234" s="247"/>
      <c r="L234" s="247"/>
    </row>
    <row r="235" spans="2:12" x14ac:dyDescent="0.5">
      <c r="B235" s="149"/>
      <c r="E235" s="247"/>
      <c r="F235" s="247"/>
      <c r="G235" s="247"/>
      <c r="H235" s="247"/>
      <c r="I235" s="247"/>
      <c r="J235" s="247"/>
      <c r="K235" s="247"/>
      <c r="L235" s="247"/>
    </row>
    <row r="236" spans="2:12" x14ac:dyDescent="0.5">
      <c r="B236" s="149"/>
      <c r="E236" s="247"/>
      <c r="F236" s="247"/>
      <c r="G236" s="247"/>
      <c r="H236" s="247"/>
      <c r="I236" s="247"/>
      <c r="J236" s="247"/>
      <c r="K236" s="247"/>
      <c r="L236" s="247"/>
    </row>
    <row r="237" spans="2:12" x14ac:dyDescent="0.5">
      <c r="B237" s="149"/>
      <c r="E237" s="247"/>
      <c r="F237" s="247"/>
      <c r="G237" s="247"/>
      <c r="H237" s="247"/>
      <c r="I237" s="247"/>
      <c r="J237" s="247"/>
      <c r="K237" s="247"/>
      <c r="L237" s="247"/>
    </row>
    <row r="238" spans="2:12" x14ac:dyDescent="0.5">
      <c r="B238" s="149"/>
      <c r="E238" s="247"/>
      <c r="F238" s="247"/>
      <c r="G238" s="247"/>
      <c r="H238" s="247"/>
      <c r="I238" s="247"/>
      <c r="J238" s="247"/>
      <c r="K238" s="247"/>
      <c r="L238" s="247"/>
    </row>
    <row r="239" spans="2:12" x14ac:dyDescent="0.5">
      <c r="B239" s="149"/>
      <c r="E239" s="247"/>
      <c r="F239" s="247"/>
      <c r="G239" s="247"/>
      <c r="H239" s="247"/>
      <c r="I239" s="247"/>
      <c r="J239" s="247"/>
      <c r="K239" s="247"/>
      <c r="L239" s="247"/>
    </row>
    <row r="240" spans="2:12" x14ac:dyDescent="0.5">
      <c r="B240" s="149"/>
      <c r="E240" s="247"/>
      <c r="F240" s="247"/>
      <c r="G240" s="247"/>
      <c r="H240" s="247"/>
      <c r="I240" s="247"/>
      <c r="J240" s="247"/>
      <c r="K240" s="247"/>
      <c r="L240" s="247"/>
    </row>
    <row r="241" spans="2:12" x14ac:dyDescent="0.5">
      <c r="B241" s="149"/>
      <c r="E241" s="247"/>
      <c r="F241" s="247"/>
      <c r="G241" s="247"/>
      <c r="H241" s="247"/>
      <c r="I241" s="247"/>
      <c r="J241" s="247"/>
      <c r="K241" s="247"/>
      <c r="L241" s="247"/>
    </row>
    <row r="242" spans="2:12" x14ac:dyDescent="0.5">
      <c r="B242" s="149"/>
      <c r="E242" s="247"/>
      <c r="F242" s="247"/>
      <c r="G242" s="247"/>
      <c r="H242" s="247"/>
      <c r="I242" s="247"/>
      <c r="J242" s="247"/>
      <c r="K242" s="247"/>
      <c r="L242" s="247"/>
    </row>
    <row r="243" spans="2:12" x14ac:dyDescent="0.5">
      <c r="B243" s="149"/>
      <c r="E243" s="247"/>
      <c r="F243" s="247"/>
      <c r="G243" s="247"/>
      <c r="H243" s="247"/>
      <c r="I243" s="247"/>
      <c r="J243" s="247"/>
      <c r="K243" s="247"/>
      <c r="L243" s="247"/>
    </row>
    <row r="244" spans="2:12" x14ac:dyDescent="0.5">
      <c r="B244" s="149"/>
      <c r="E244" s="247"/>
      <c r="F244" s="247"/>
      <c r="G244" s="247"/>
      <c r="H244" s="247"/>
      <c r="I244" s="247"/>
      <c r="J244" s="247"/>
      <c r="K244" s="247"/>
      <c r="L244" s="247"/>
    </row>
    <row r="245" spans="2:12" x14ac:dyDescent="0.5">
      <c r="B245" s="149"/>
      <c r="E245" s="247"/>
      <c r="F245" s="247"/>
      <c r="G245" s="247"/>
      <c r="H245" s="247"/>
      <c r="I245" s="247"/>
      <c r="J245" s="247"/>
      <c r="K245" s="247"/>
      <c r="L245" s="247"/>
    </row>
    <row r="246" spans="2:12" x14ac:dyDescent="0.5">
      <c r="B246" s="149"/>
      <c r="E246" s="247"/>
      <c r="F246" s="247"/>
      <c r="G246" s="247"/>
      <c r="H246" s="247"/>
      <c r="I246" s="247"/>
      <c r="J246" s="247"/>
      <c r="K246" s="247"/>
      <c r="L246" s="247"/>
    </row>
    <row r="247" spans="2:12" x14ac:dyDescent="0.5">
      <c r="B247" s="149"/>
      <c r="E247" s="247"/>
      <c r="F247" s="247"/>
      <c r="G247" s="247"/>
      <c r="H247" s="247"/>
      <c r="I247" s="247"/>
      <c r="J247" s="247"/>
      <c r="K247" s="247"/>
      <c r="L247" s="247"/>
    </row>
    <row r="248" spans="2:12" x14ac:dyDescent="0.5">
      <c r="B248" s="149"/>
      <c r="E248" s="247"/>
      <c r="F248" s="247"/>
      <c r="G248" s="247"/>
      <c r="H248" s="247"/>
      <c r="I248" s="247"/>
      <c r="J248" s="247"/>
      <c r="K248" s="247"/>
      <c r="L248" s="247"/>
    </row>
    <row r="249" spans="2:12" x14ac:dyDescent="0.5">
      <c r="B249" s="149"/>
      <c r="E249" s="247"/>
      <c r="F249" s="247"/>
      <c r="G249" s="247"/>
      <c r="H249" s="247"/>
      <c r="I249" s="247"/>
      <c r="J249" s="247"/>
      <c r="K249" s="247"/>
      <c r="L249" s="247"/>
    </row>
    <row r="250" spans="2:12" x14ac:dyDescent="0.5">
      <c r="B250" s="149"/>
      <c r="E250" s="247"/>
      <c r="F250" s="247"/>
      <c r="G250" s="247"/>
      <c r="H250" s="247"/>
      <c r="I250" s="247"/>
      <c r="J250" s="247"/>
      <c r="K250" s="247"/>
      <c r="L250" s="247"/>
    </row>
    <row r="251" spans="2:12" x14ac:dyDescent="0.5">
      <c r="B251" s="149"/>
      <c r="E251" s="247"/>
      <c r="F251" s="247"/>
      <c r="G251" s="247"/>
      <c r="H251" s="247"/>
      <c r="I251" s="247"/>
      <c r="J251" s="247"/>
      <c r="K251" s="247"/>
      <c r="L251" s="247"/>
    </row>
    <row r="252" spans="2:12" x14ac:dyDescent="0.5">
      <c r="B252" s="149"/>
      <c r="E252" s="247"/>
      <c r="F252" s="247"/>
      <c r="G252" s="247"/>
      <c r="H252" s="247"/>
      <c r="I252" s="247"/>
      <c r="J252" s="247"/>
      <c r="K252" s="247"/>
      <c r="L252" s="247"/>
    </row>
    <row r="253" spans="2:12" x14ac:dyDescent="0.5">
      <c r="B253" s="149"/>
      <c r="E253" s="247"/>
      <c r="F253" s="247"/>
      <c r="G253" s="247"/>
      <c r="H253" s="247"/>
      <c r="I253" s="247"/>
      <c r="J253" s="247"/>
      <c r="K253" s="247"/>
      <c r="L253" s="247"/>
    </row>
    <row r="254" spans="2:12" x14ac:dyDescent="0.5">
      <c r="B254" s="149"/>
      <c r="E254" s="247"/>
      <c r="F254" s="247"/>
      <c r="G254" s="247"/>
      <c r="H254" s="247"/>
      <c r="I254" s="247"/>
      <c r="J254" s="247"/>
      <c r="K254" s="247"/>
      <c r="L254" s="247"/>
    </row>
    <row r="255" spans="2:12" x14ac:dyDescent="0.5">
      <c r="B255" s="149"/>
      <c r="E255" s="247"/>
      <c r="F255" s="247"/>
      <c r="G255" s="247"/>
      <c r="H255" s="247"/>
      <c r="I255" s="247"/>
      <c r="J255" s="247"/>
      <c r="K255" s="247"/>
      <c r="L255" s="247"/>
    </row>
    <row r="256" spans="2:12" x14ac:dyDescent="0.5">
      <c r="B256" s="149"/>
      <c r="E256" s="247"/>
      <c r="F256" s="247"/>
      <c r="G256" s="247"/>
      <c r="H256" s="247"/>
      <c r="I256" s="247"/>
      <c r="J256" s="247"/>
      <c r="K256" s="247"/>
      <c r="L256" s="247"/>
    </row>
    <row r="257" spans="2:12" x14ac:dyDescent="0.5">
      <c r="B257" s="149"/>
      <c r="E257" s="247"/>
      <c r="F257" s="247"/>
      <c r="G257" s="247"/>
      <c r="H257" s="247"/>
      <c r="I257" s="247"/>
      <c r="J257" s="247"/>
      <c r="K257" s="247"/>
      <c r="L257" s="247"/>
    </row>
    <row r="258" spans="2:12" x14ac:dyDescent="0.5">
      <c r="B258" s="149"/>
      <c r="E258" s="247"/>
      <c r="F258" s="247"/>
      <c r="G258" s="247"/>
      <c r="H258" s="247"/>
      <c r="I258" s="247"/>
      <c r="J258" s="247"/>
      <c r="K258" s="247"/>
      <c r="L258" s="247"/>
    </row>
    <row r="259" spans="2:12" x14ac:dyDescent="0.5">
      <c r="B259" s="149"/>
      <c r="E259" s="247"/>
      <c r="F259" s="247"/>
      <c r="G259" s="247"/>
      <c r="H259" s="247"/>
      <c r="I259" s="247"/>
      <c r="J259" s="247"/>
      <c r="K259" s="247"/>
      <c r="L259" s="247"/>
    </row>
    <row r="260" spans="2:12" x14ac:dyDescent="0.5">
      <c r="B260" s="149"/>
      <c r="E260" s="247"/>
      <c r="F260" s="247"/>
      <c r="G260" s="247"/>
      <c r="H260" s="247"/>
      <c r="I260" s="247"/>
      <c r="J260" s="247"/>
      <c r="K260" s="247"/>
      <c r="L260" s="247"/>
    </row>
    <row r="261" spans="2:12" x14ac:dyDescent="0.5">
      <c r="B261" s="149"/>
      <c r="E261" s="247"/>
      <c r="F261" s="247"/>
      <c r="G261" s="247"/>
      <c r="H261" s="247"/>
      <c r="I261" s="247"/>
      <c r="J261" s="247"/>
      <c r="K261" s="247"/>
      <c r="L261" s="247"/>
    </row>
    <row r="262" spans="2:12" x14ac:dyDescent="0.5">
      <c r="B262" s="149"/>
      <c r="E262" s="247"/>
      <c r="F262" s="247"/>
      <c r="G262" s="247"/>
      <c r="H262" s="247"/>
      <c r="I262" s="247"/>
      <c r="J262" s="247"/>
      <c r="K262" s="247"/>
      <c r="L262" s="247"/>
    </row>
    <row r="263" spans="2:12" x14ac:dyDescent="0.5">
      <c r="B263" s="149"/>
      <c r="E263" s="247"/>
      <c r="F263" s="247"/>
      <c r="G263" s="247"/>
      <c r="H263" s="247"/>
      <c r="I263" s="247"/>
      <c r="J263" s="247"/>
      <c r="K263" s="247"/>
      <c r="L263" s="247"/>
    </row>
    <row r="264" spans="2:12" x14ac:dyDescent="0.5">
      <c r="B264" s="149"/>
      <c r="E264" s="247"/>
      <c r="F264" s="247"/>
      <c r="G264" s="247"/>
      <c r="H264" s="247"/>
      <c r="I264" s="247"/>
      <c r="J264" s="247"/>
      <c r="K264" s="247"/>
      <c r="L264" s="247"/>
    </row>
    <row r="265" spans="2:12" x14ac:dyDescent="0.5">
      <c r="B265" s="149"/>
      <c r="E265" s="247"/>
      <c r="F265" s="247"/>
      <c r="G265" s="247"/>
      <c r="H265" s="247"/>
      <c r="I265" s="247"/>
      <c r="J265" s="247"/>
      <c r="K265" s="247"/>
      <c r="L265" s="247"/>
    </row>
    <row r="266" spans="2:12" x14ac:dyDescent="0.5">
      <c r="B266" s="149"/>
      <c r="E266" s="247"/>
      <c r="F266" s="247"/>
      <c r="G266" s="247"/>
      <c r="H266" s="247"/>
      <c r="I266" s="247"/>
      <c r="J266" s="247"/>
      <c r="K266" s="247"/>
      <c r="L266" s="247"/>
    </row>
    <row r="267" spans="2:12" x14ac:dyDescent="0.5">
      <c r="B267" s="149"/>
      <c r="E267" s="247"/>
      <c r="F267" s="247"/>
      <c r="G267" s="247"/>
      <c r="H267" s="247"/>
      <c r="I267" s="247"/>
      <c r="J267" s="247"/>
      <c r="K267" s="247"/>
      <c r="L267" s="247"/>
    </row>
    <row r="268" spans="2:12" x14ac:dyDescent="0.5">
      <c r="B268" s="149"/>
      <c r="E268" s="247"/>
      <c r="F268" s="247"/>
      <c r="G268" s="247"/>
      <c r="H268" s="247"/>
      <c r="I268" s="247"/>
      <c r="J268" s="247"/>
      <c r="K268" s="247"/>
      <c r="L268" s="247"/>
    </row>
    <row r="269" spans="2:12" x14ac:dyDescent="0.5">
      <c r="B269" s="149"/>
      <c r="E269" s="247"/>
      <c r="F269" s="247"/>
      <c r="G269" s="247"/>
      <c r="H269" s="247"/>
      <c r="I269" s="247"/>
      <c r="J269" s="247"/>
      <c r="K269" s="247"/>
      <c r="L269" s="247"/>
    </row>
    <row r="270" spans="2:12" x14ac:dyDescent="0.5">
      <c r="B270" s="149"/>
      <c r="E270" s="247"/>
      <c r="F270" s="247"/>
      <c r="G270" s="247"/>
      <c r="H270" s="247"/>
      <c r="I270" s="247"/>
      <c r="J270" s="247"/>
      <c r="K270" s="247"/>
      <c r="L270" s="247"/>
    </row>
    <row r="271" spans="2:12" x14ac:dyDescent="0.5">
      <c r="B271" s="149"/>
      <c r="E271" s="247"/>
      <c r="F271" s="247"/>
      <c r="G271" s="247"/>
      <c r="H271" s="247"/>
      <c r="I271" s="247"/>
      <c r="J271" s="247"/>
      <c r="K271" s="247"/>
      <c r="L271" s="247"/>
    </row>
    <row r="272" spans="2:12" x14ac:dyDescent="0.5">
      <c r="B272" s="149"/>
      <c r="E272" s="247"/>
      <c r="F272" s="247"/>
      <c r="G272" s="247"/>
      <c r="H272" s="247"/>
      <c r="I272" s="247"/>
      <c r="J272" s="247"/>
      <c r="K272" s="247"/>
      <c r="L272" s="247"/>
    </row>
    <row r="273" spans="2:12" x14ac:dyDescent="0.5">
      <c r="B273" s="149"/>
      <c r="E273" s="247"/>
      <c r="F273" s="247"/>
      <c r="G273" s="247"/>
      <c r="H273" s="247"/>
      <c r="I273" s="247"/>
      <c r="J273" s="247"/>
      <c r="K273" s="247"/>
      <c r="L273" s="247"/>
    </row>
    <row r="274" spans="2:12" x14ac:dyDescent="0.5">
      <c r="B274" s="149"/>
      <c r="E274" s="247"/>
      <c r="F274" s="247"/>
      <c r="G274" s="247"/>
      <c r="H274" s="247"/>
      <c r="I274" s="247"/>
      <c r="J274" s="247"/>
      <c r="K274" s="247"/>
      <c r="L274" s="247"/>
    </row>
    <row r="275" spans="2:12" x14ac:dyDescent="0.5">
      <c r="B275" s="149"/>
      <c r="E275" s="247"/>
      <c r="F275" s="247"/>
      <c r="G275" s="247"/>
      <c r="H275" s="247"/>
      <c r="I275" s="247"/>
      <c r="J275" s="247"/>
      <c r="K275" s="247"/>
      <c r="L275" s="247"/>
    </row>
    <row r="276" spans="2:12" x14ac:dyDescent="0.5">
      <c r="B276" s="149"/>
      <c r="E276" s="247"/>
      <c r="F276" s="247"/>
      <c r="G276" s="247"/>
      <c r="H276" s="247"/>
      <c r="I276" s="247"/>
      <c r="J276" s="247"/>
      <c r="K276" s="247"/>
      <c r="L276" s="247"/>
    </row>
    <row r="277" spans="2:12" x14ac:dyDescent="0.5">
      <c r="B277" s="149"/>
      <c r="E277" s="247"/>
      <c r="F277" s="247"/>
      <c r="G277" s="247"/>
      <c r="H277" s="247"/>
      <c r="I277" s="247"/>
      <c r="J277" s="247"/>
      <c r="K277" s="247"/>
      <c r="L277" s="247"/>
    </row>
    <row r="278" spans="2:12" x14ac:dyDescent="0.5">
      <c r="B278" s="149"/>
      <c r="E278" s="247"/>
      <c r="F278" s="247"/>
      <c r="G278" s="247"/>
      <c r="H278" s="247"/>
      <c r="I278" s="247"/>
      <c r="J278" s="247"/>
      <c r="K278" s="247"/>
      <c r="L278" s="247"/>
    </row>
    <row r="279" spans="2:12" x14ac:dyDescent="0.5">
      <c r="B279" s="149"/>
      <c r="E279" s="247"/>
      <c r="F279" s="247"/>
      <c r="G279" s="247"/>
      <c r="H279" s="247"/>
      <c r="I279" s="247"/>
      <c r="J279" s="247"/>
      <c r="K279" s="247"/>
      <c r="L279" s="247"/>
    </row>
    <row r="280" spans="2:12" x14ac:dyDescent="0.5">
      <c r="B280" s="149"/>
      <c r="E280" s="247"/>
      <c r="F280" s="247"/>
      <c r="G280" s="247"/>
      <c r="H280" s="247"/>
      <c r="I280" s="247"/>
      <c r="J280" s="247"/>
      <c r="K280" s="247"/>
      <c r="L280" s="247"/>
    </row>
    <row r="281" spans="2:12" x14ac:dyDescent="0.5">
      <c r="B281" s="149"/>
      <c r="E281" s="247"/>
      <c r="F281" s="247"/>
      <c r="G281" s="247"/>
      <c r="H281" s="247"/>
      <c r="I281" s="247"/>
      <c r="J281" s="247"/>
      <c r="K281" s="247"/>
      <c r="L281" s="247"/>
    </row>
    <row r="282" spans="2:12" x14ac:dyDescent="0.5">
      <c r="B282" s="149"/>
      <c r="E282" s="247"/>
      <c r="F282" s="247"/>
      <c r="G282" s="247"/>
      <c r="H282" s="247"/>
      <c r="I282" s="247"/>
      <c r="J282" s="247"/>
      <c r="K282" s="247"/>
      <c r="L282" s="247"/>
    </row>
    <row r="283" spans="2:12" x14ac:dyDescent="0.5">
      <c r="B283" s="149"/>
      <c r="E283" s="247"/>
      <c r="F283" s="247"/>
      <c r="G283" s="247"/>
      <c r="H283" s="247"/>
      <c r="I283" s="247"/>
      <c r="J283" s="247"/>
      <c r="K283" s="247"/>
      <c r="L283" s="247"/>
    </row>
    <row r="284" spans="2:12" x14ac:dyDescent="0.5">
      <c r="B284" s="149"/>
      <c r="E284" s="247"/>
      <c r="F284" s="247"/>
      <c r="G284" s="247"/>
      <c r="H284" s="247"/>
      <c r="I284" s="247"/>
      <c r="J284" s="247"/>
      <c r="K284" s="247"/>
      <c r="L284" s="247"/>
    </row>
    <row r="285" spans="2:12" x14ac:dyDescent="0.5">
      <c r="B285" s="149"/>
      <c r="E285" s="247"/>
      <c r="F285" s="247"/>
      <c r="G285" s="247"/>
      <c r="H285" s="247"/>
      <c r="I285" s="247"/>
      <c r="J285" s="247"/>
      <c r="K285" s="247"/>
      <c r="L285" s="247"/>
    </row>
    <row r="286" spans="2:12" x14ac:dyDescent="0.5">
      <c r="B286" s="149"/>
      <c r="E286" s="247"/>
      <c r="F286" s="247"/>
      <c r="G286" s="247"/>
      <c r="H286" s="247"/>
      <c r="I286" s="247"/>
      <c r="J286" s="247"/>
      <c r="K286" s="247"/>
      <c r="L286" s="247"/>
    </row>
    <row r="287" spans="2:12" x14ac:dyDescent="0.5">
      <c r="B287" s="149"/>
      <c r="E287" s="247"/>
      <c r="F287" s="247"/>
      <c r="G287" s="247"/>
      <c r="H287" s="247"/>
      <c r="I287" s="247"/>
      <c r="J287" s="247"/>
      <c r="K287" s="247"/>
      <c r="L287" s="247"/>
    </row>
    <row r="288" spans="2:12" x14ac:dyDescent="0.5">
      <c r="B288" s="149"/>
      <c r="E288" s="247"/>
      <c r="F288" s="247"/>
      <c r="G288" s="247"/>
      <c r="H288" s="247"/>
      <c r="I288" s="247"/>
      <c r="J288" s="247"/>
      <c r="K288" s="247"/>
      <c r="L288" s="247"/>
    </row>
    <row r="289" spans="2:12" x14ac:dyDescent="0.5">
      <c r="B289" s="149"/>
      <c r="E289" s="247"/>
      <c r="F289" s="247"/>
      <c r="G289" s="247"/>
      <c r="H289" s="247"/>
      <c r="I289" s="247"/>
      <c r="J289" s="247"/>
      <c r="K289" s="247"/>
      <c r="L289" s="247"/>
    </row>
    <row r="290" spans="2:12" x14ac:dyDescent="0.5">
      <c r="B290" s="149"/>
      <c r="E290" s="247"/>
      <c r="F290" s="247"/>
      <c r="G290" s="247"/>
      <c r="H290" s="247"/>
      <c r="I290" s="247"/>
      <c r="J290" s="247"/>
      <c r="K290" s="247"/>
      <c r="L290" s="247"/>
    </row>
    <row r="291" spans="2:12" x14ac:dyDescent="0.5">
      <c r="B291" s="149"/>
      <c r="E291" s="247"/>
      <c r="F291" s="247"/>
      <c r="G291" s="247"/>
      <c r="H291" s="247"/>
      <c r="I291" s="247"/>
      <c r="J291" s="247"/>
      <c r="K291" s="247"/>
      <c r="L291" s="247"/>
    </row>
    <row r="292" spans="2:12" x14ac:dyDescent="0.5">
      <c r="B292" s="149"/>
      <c r="E292" s="247"/>
      <c r="F292" s="247"/>
      <c r="G292" s="247"/>
      <c r="H292" s="247"/>
      <c r="I292" s="247"/>
      <c r="J292" s="247"/>
      <c r="K292" s="247"/>
      <c r="L292" s="247"/>
    </row>
    <row r="293" spans="2:12" x14ac:dyDescent="0.5">
      <c r="B293" s="149"/>
      <c r="E293" s="247"/>
      <c r="F293" s="247"/>
      <c r="G293" s="247"/>
      <c r="H293" s="247"/>
      <c r="I293" s="247"/>
      <c r="J293" s="247"/>
      <c r="K293" s="247"/>
      <c r="L293" s="247"/>
    </row>
    <row r="294" spans="2:12" x14ac:dyDescent="0.5">
      <c r="B294" s="149"/>
      <c r="E294" s="247"/>
      <c r="F294" s="247"/>
      <c r="G294" s="247"/>
      <c r="H294" s="247"/>
      <c r="I294" s="247"/>
      <c r="J294" s="247"/>
      <c r="K294" s="247"/>
      <c r="L294" s="247"/>
    </row>
    <row r="295" spans="2:12" x14ac:dyDescent="0.5">
      <c r="B295" s="149"/>
      <c r="E295" s="247"/>
      <c r="F295" s="247"/>
      <c r="G295" s="247"/>
      <c r="H295" s="247"/>
      <c r="I295" s="247"/>
      <c r="J295" s="247"/>
      <c r="K295" s="247"/>
      <c r="L295" s="247"/>
    </row>
    <row r="296" spans="2:12" x14ac:dyDescent="0.5">
      <c r="B296" s="149"/>
      <c r="E296" s="247"/>
      <c r="F296" s="247"/>
      <c r="G296" s="247"/>
      <c r="H296" s="247"/>
      <c r="I296" s="247"/>
      <c r="J296" s="247"/>
      <c r="K296" s="247"/>
      <c r="L296" s="247"/>
    </row>
    <row r="297" spans="2:12" x14ac:dyDescent="0.5">
      <c r="B297" s="149"/>
      <c r="E297" s="247"/>
      <c r="F297" s="247"/>
      <c r="G297" s="247"/>
      <c r="H297" s="247"/>
      <c r="I297" s="247"/>
      <c r="J297" s="247"/>
      <c r="K297" s="247"/>
      <c r="L297" s="247"/>
    </row>
    <row r="298" spans="2:12" x14ac:dyDescent="0.5">
      <c r="B298" s="149"/>
      <c r="E298" s="247"/>
      <c r="F298" s="247"/>
      <c r="G298" s="247"/>
      <c r="H298" s="247"/>
      <c r="I298" s="247"/>
      <c r="J298" s="247"/>
      <c r="K298" s="247"/>
      <c r="L298" s="247"/>
    </row>
  </sheetData>
  <printOptions headings="1" gridLines="1"/>
  <pageMargins left="0.25" right="0.25" top="0.75" bottom="0.75" header="0.3" footer="0.3"/>
  <pageSetup paperSize="5" scale="54" orientation="landscape" r:id="rId1"/>
  <rowBreaks count="1" manualBreakCount="1">
    <brk id="35" max="27" man="1"/>
  </rowBreaks>
  <colBreaks count="1" manualBreakCount="1">
    <brk id="29" min="12" max="96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A2D92-EE50-4EAB-B270-36AB53D5860D}">
  <sheetPr>
    <tabColor rgb="FFFFFF00"/>
  </sheetPr>
  <dimension ref="A1:AI298"/>
  <sheetViews>
    <sheetView topLeftCell="E73" zoomScale="90" zoomScaleNormal="90" zoomScaleSheetLayoutView="75" workbookViewId="0">
      <selection activeCell="A7" sqref="A7:AG91"/>
    </sheetView>
  </sheetViews>
  <sheetFormatPr defaultColWidth="8.86328125" defaultRowHeight="15.75" x14ac:dyDescent="0.5"/>
  <cols>
    <col min="1" max="1" width="3.59765625" customWidth="1"/>
    <col min="2" max="2" width="8.1328125" style="148" customWidth="1"/>
    <col min="3" max="3" width="46.1328125" style="149" customWidth="1"/>
    <col min="4" max="4" width="16.73046875" style="149" customWidth="1"/>
    <col min="5" max="5" width="14.59765625" style="150" customWidth="1"/>
    <col min="6" max="6" width="12.265625" style="150" customWidth="1"/>
    <col min="7" max="7" width="14.3984375" style="150" customWidth="1"/>
    <col min="8" max="8" width="14.59765625" style="150" hidden="1" customWidth="1"/>
    <col min="9" max="9" width="3.59765625" style="150" customWidth="1"/>
    <col min="10" max="10" width="14.59765625" style="150" customWidth="1"/>
    <col min="11" max="11" width="5.265625" style="150" customWidth="1"/>
    <col min="12" max="12" width="12.06640625" style="150" customWidth="1"/>
    <col min="13" max="13" width="1.06640625" style="150" hidden="1" customWidth="1"/>
    <col min="14" max="14" width="12" customWidth="1"/>
    <col min="15" max="15" width="0.19921875" hidden="1" customWidth="1"/>
    <col min="16" max="16" width="12.46484375" customWidth="1"/>
    <col min="17" max="17" width="9.73046875" hidden="1" customWidth="1"/>
    <col min="18" max="18" width="12.46484375" customWidth="1"/>
    <col min="19" max="19" width="4.53125" hidden="1" customWidth="1"/>
    <col min="20" max="20" width="14.265625" customWidth="1"/>
    <col min="21" max="21" width="0.265625" hidden="1" customWidth="1"/>
    <col min="22" max="22" width="14.46484375" customWidth="1"/>
    <col min="23" max="23" width="21.46484375" hidden="1" customWidth="1"/>
    <col min="24" max="24" width="16.796875" customWidth="1"/>
    <col min="25" max="25" width="0.73046875" hidden="1" customWidth="1"/>
    <col min="26" max="26" width="0.86328125" hidden="1" customWidth="1"/>
    <col min="27" max="27" width="0.1328125" customWidth="1"/>
    <col min="28" max="28" width="15" customWidth="1"/>
    <col min="29" max="29" width="4.3984375" hidden="1" customWidth="1"/>
    <col min="30" max="30" width="10.86328125" hidden="1" customWidth="1"/>
    <col min="31" max="31" width="16.59765625" bestFit="1" customWidth="1"/>
    <col min="33" max="33" width="16.73046875" customWidth="1"/>
    <col min="34" max="34" width="11.265625" bestFit="1" customWidth="1"/>
    <col min="35" max="35" width="14.06640625" customWidth="1"/>
  </cols>
  <sheetData>
    <row r="1" spans="2:33" hidden="1" x14ac:dyDescent="0.5">
      <c r="J1" s="151">
        <f>L1/L5</f>
        <v>0.15998207483755322</v>
      </c>
      <c r="K1" s="151"/>
      <c r="L1" s="152">
        <v>2142</v>
      </c>
      <c r="M1" s="152"/>
      <c r="N1" t="s">
        <v>50</v>
      </c>
      <c r="P1" s="52">
        <f>20000*J1</f>
        <v>3199.6414967510646</v>
      </c>
      <c r="Q1" s="52"/>
      <c r="R1" t="s">
        <v>50</v>
      </c>
    </row>
    <row r="2" spans="2:33" hidden="1" x14ac:dyDescent="0.5">
      <c r="J2" s="151">
        <f>L2/L5</f>
        <v>6.9982821719321825E-2</v>
      </c>
      <c r="K2" s="151"/>
      <c r="L2" s="152">
        <v>937</v>
      </c>
      <c r="M2" s="152"/>
      <c r="N2" t="s">
        <v>96</v>
      </c>
      <c r="P2" s="52">
        <f>20000*J2</f>
        <v>1399.6564343864366</v>
      </c>
      <c r="Q2" s="52"/>
      <c r="R2" t="s">
        <v>96</v>
      </c>
      <c r="T2" s="52">
        <v>100000</v>
      </c>
      <c r="U2" s="52"/>
      <c r="V2" t="s">
        <v>97</v>
      </c>
      <c r="X2" t="s">
        <v>60</v>
      </c>
      <c r="AB2" s="52">
        <v>79276</v>
      </c>
      <c r="AC2" t="s">
        <v>60</v>
      </c>
    </row>
    <row r="3" spans="2:33" hidden="1" x14ac:dyDescent="0.5">
      <c r="J3" s="151">
        <f>L3/L5</f>
        <v>0.29001419075360368</v>
      </c>
      <c r="K3" s="151"/>
      <c r="L3" s="152">
        <v>3883</v>
      </c>
      <c r="M3" s="152"/>
      <c r="N3" t="s">
        <v>64</v>
      </c>
      <c r="P3" s="52">
        <f>20000*J3</f>
        <v>5800.2838150720736</v>
      </c>
      <c r="Q3" s="52"/>
      <c r="R3" t="s">
        <v>64</v>
      </c>
      <c r="T3" s="52">
        <v>4177</v>
      </c>
      <c r="U3" s="52"/>
      <c r="V3" t="s">
        <v>50</v>
      </c>
      <c r="AB3" s="153" t="e">
        <f>-#REF!</f>
        <v>#REF!</v>
      </c>
    </row>
    <row r="4" spans="2:33" hidden="1" x14ac:dyDescent="0.5">
      <c r="J4" s="154">
        <f>L4/L5</f>
        <v>0.48002091268952124</v>
      </c>
      <c r="K4" s="154"/>
      <c r="L4" s="155">
        <v>6427</v>
      </c>
      <c r="M4" s="346"/>
      <c r="N4" t="s">
        <v>45</v>
      </c>
      <c r="P4" s="153">
        <f>20000*J4</f>
        <v>9600.4182537904253</v>
      </c>
      <c r="Q4" s="347"/>
      <c r="R4" t="s">
        <v>45</v>
      </c>
      <c r="T4" s="52">
        <v>12578</v>
      </c>
      <c r="U4" s="52"/>
      <c r="V4" t="s">
        <v>98</v>
      </c>
      <c r="AB4" s="52" t="e">
        <f>SUM(AB2:AB3)</f>
        <v>#REF!</v>
      </c>
    </row>
    <row r="5" spans="2:33" hidden="1" x14ac:dyDescent="0.5">
      <c r="J5" s="151">
        <f>SUM(J1:J4)</f>
        <v>1</v>
      </c>
      <c r="K5" s="151"/>
      <c r="L5" s="152">
        <f>SUM(L1:L4)</f>
        <v>13389</v>
      </c>
      <c r="M5" s="152"/>
      <c r="P5" s="52">
        <f>SUM(P1:P4)</f>
        <v>20000</v>
      </c>
      <c r="Q5" s="52"/>
      <c r="T5" s="153">
        <v>4000</v>
      </c>
      <c r="U5" s="347"/>
      <c r="V5" t="s">
        <v>99</v>
      </c>
    </row>
    <row r="6" spans="2:33" ht="16.149999999999999" hidden="1" thickBot="1" x14ac:dyDescent="0.55000000000000004">
      <c r="T6" s="156">
        <f>SUM(T2:T5)</f>
        <v>120755</v>
      </c>
      <c r="U6" s="347"/>
      <c r="V6" t="s">
        <v>100</v>
      </c>
    </row>
    <row r="7" spans="2:33" x14ac:dyDescent="0.5">
      <c r="F7" s="289"/>
      <c r="G7" s="150" t="s">
        <v>0</v>
      </c>
      <c r="T7" s="52"/>
      <c r="U7" s="52"/>
    </row>
    <row r="8" spans="2:33" x14ac:dyDescent="0.5">
      <c r="E8" s="150" t="s">
        <v>0</v>
      </c>
      <c r="X8" s="467"/>
      <c r="Y8" s="467"/>
      <c r="Z8" s="467"/>
      <c r="AA8" s="248"/>
      <c r="AE8" s="421" t="s">
        <v>208</v>
      </c>
      <c r="AF8" s="421"/>
      <c r="AG8" s="422"/>
    </row>
    <row r="9" spans="2:33" ht="28.9" x14ac:dyDescent="0.5">
      <c r="D9" s="421" t="s">
        <v>208</v>
      </c>
      <c r="E9" s="421"/>
      <c r="F9" s="422"/>
      <c r="G9" s="150" t="s">
        <v>310</v>
      </c>
      <c r="P9" s="525" t="s">
        <v>105</v>
      </c>
      <c r="Q9" s="419"/>
      <c r="R9" s="524">
        <v>30000</v>
      </c>
      <c r="W9" s="178"/>
      <c r="X9" s="248"/>
      <c r="Y9" s="248"/>
      <c r="Z9" s="248"/>
      <c r="AA9" s="506"/>
      <c r="AE9" s="422" t="s">
        <v>189</v>
      </c>
      <c r="AF9" s="422"/>
      <c r="AG9" s="423">
        <v>125000</v>
      </c>
    </row>
    <row r="10" spans="2:33" ht="57.75" thickBot="1" x14ac:dyDescent="0.55000000000000004">
      <c r="D10" s="500" t="s">
        <v>189</v>
      </c>
      <c r="E10" s="500"/>
      <c r="F10" s="423">
        <v>125000</v>
      </c>
      <c r="G10" s="412" t="s">
        <v>0</v>
      </c>
      <c r="H10" s="410"/>
      <c r="I10" s="410"/>
      <c r="J10" s="513" t="s">
        <v>320</v>
      </c>
      <c r="K10" s="411"/>
      <c r="L10" s="414" t="s">
        <v>185</v>
      </c>
      <c r="M10" s="415"/>
      <c r="N10" s="514" t="s">
        <v>0</v>
      </c>
      <c r="P10" s="417" t="s">
        <v>186</v>
      </c>
      <c r="Q10" s="418"/>
      <c r="R10" s="515" t="s">
        <v>323</v>
      </c>
      <c r="U10" s="429"/>
      <c r="V10" s="520" t="s">
        <v>325</v>
      </c>
      <c r="W10" s="248"/>
      <c r="X10" s="521" t="s">
        <v>0</v>
      </c>
      <c r="Y10" s="507"/>
      <c r="Z10" s="248"/>
      <c r="AA10" s="508"/>
      <c r="AE10" s="500" t="s">
        <v>190</v>
      </c>
      <c r="AF10" s="422"/>
      <c r="AG10" s="423">
        <v>100000</v>
      </c>
    </row>
    <row r="11" spans="2:33" ht="48" thickTop="1" thickBot="1" x14ac:dyDescent="0.55000000000000004">
      <c r="B11" s="434"/>
      <c r="D11" s="500" t="s">
        <v>190</v>
      </c>
      <c r="E11" s="500"/>
      <c r="F11" s="423">
        <v>100000</v>
      </c>
      <c r="G11" s="412" t="s">
        <v>300</v>
      </c>
      <c r="H11" s="413"/>
      <c r="I11" s="413"/>
      <c r="J11" s="426">
        <v>35425</v>
      </c>
      <c r="K11" s="499"/>
      <c r="L11" s="512" t="s">
        <v>267</v>
      </c>
      <c r="M11" s="415"/>
      <c r="N11" s="516">
        <v>0</v>
      </c>
      <c r="P11" s="511" t="s">
        <v>267</v>
      </c>
      <c r="Q11" s="418"/>
      <c r="R11" s="517">
        <v>128750</v>
      </c>
      <c r="U11" s="420">
        <v>3718663</v>
      </c>
      <c r="V11" s="523" t="s">
        <v>326</v>
      </c>
      <c r="W11" s="429"/>
      <c r="X11" s="522">
        <v>1000000</v>
      </c>
      <c r="Y11" s="248"/>
      <c r="Z11" s="248"/>
      <c r="AA11" s="508"/>
      <c r="AE11" s="422" t="s">
        <v>191</v>
      </c>
      <c r="AF11" s="422"/>
      <c r="AG11" s="423">
        <v>30000</v>
      </c>
    </row>
    <row r="12" spans="2:33" ht="53.65" customHeight="1" thickTop="1" thickBot="1" x14ac:dyDescent="0.55000000000000004">
      <c r="B12" s="434"/>
      <c r="C12" s="484"/>
      <c r="D12" s="500" t="s">
        <v>191</v>
      </c>
      <c r="E12" s="500"/>
      <c r="F12" s="423">
        <v>30000</v>
      </c>
      <c r="G12" s="428" t="s">
        <v>0</v>
      </c>
      <c r="H12" s="428"/>
      <c r="I12" s="428"/>
      <c r="J12" s="513" t="s">
        <v>321</v>
      </c>
      <c r="K12" s="411"/>
      <c r="L12" s="512" t="s">
        <v>305</v>
      </c>
      <c r="M12" s="415"/>
      <c r="N12" s="427">
        <v>80000</v>
      </c>
      <c r="O12" s="178"/>
      <c r="P12" s="511" t="s">
        <v>305</v>
      </c>
      <c r="Q12" s="418"/>
      <c r="R12" s="518">
        <v>80000</v>
      </c>
      <c r="U12" s="429"/>
      <c r="V12" s="523" t="s">
        <v>327</v>
      </c>
      <c r="W12" s="248"/>
      <c r="X12" s="522">
        <v>1859332</v>
      </c>
      <c r="Y12" s="248"/>
      <c r="Z12" s="248"/>
      <c r="AA12" s="508"/>
      <c r="AE12" s="422" t="s">
        <v>192</v>
      </c>
      <c r="AF12" s="422"/>
      <c r="AG12" s="424">
        <v>111500</v>
      </c>
    </row>
    <row r="13" spans="2:33" ht="48" thickTop="1" thickBot="1" x14ac:dyDescent="0.55000000000000004">
      <c r="D13" s="500" t="s">
        <v>192</v>
      </c>
      <c r="E13" s="500"/>
      <c r="F13" s="424">
        <v>111500</v>
      </c>
      <c r="G13" s="413" t="s">
        <v>319</v>
      </c>
      <c r="H13" s="410"/>
      <c r="I13" s="410"/>
      <c r="J13" s="426">
        <v>4911</v>
      </c>
      <c r="K13" s="499"/>
      <c r="L13" s="416"/>
      <c r="M13" s="416"/>
      <c r="N13" s="514" t="s">
        <v>322</v>
      </c>
      <c r="P13" s="419"/>
      <c r="Q13" s="419"/>
      <c r="R13" s="519" t="s">
        <v>324</v>
      </c>
      <c r="U13" s="429"/>
      <c r="V13" s="523" t="s">
        <v>327</v>
      </c>
      <c r="W13" s="248"/>
      <c r="X13" s="509">
        <v>1859332</v>
      </c>
      <c r="Y13" s="248"/>
      <c r="Z13" s="248"/>
      <c r="AA13" s="508"/>
      <c r="AE13" s="422"/>
      <c r="AF13" s="422"/>
      <c r="AG13" s="425">
        <f>SUM(AG9:AG12)</f>
        <v>366500</v>
      </c>
    </row>
    <row r="14" spans="2:33" ht="16.5" thickTop="1" thickBot="1" x14ac:dyDescent="0.55000000000000004">
      <c r="C14" s="451"/>
      <c r="D14" s="422"/>
      <c r="E14" s="422"/>
      <c r="F14" s="425">
        <f>SUM(F10:F13)</f>
        <v>366500</v>
      </c>
      <c r="J14"/>
      <c r="K14"/>
      <c r="L14"/>
      <c r="M14"/>
      <c r="AA14" s="345"/>
      <c r="AE14" s="402"/>
    </row>
    <row r="15" spans="2:33" ht="67.5" customHeight="1" thickTop="1" x14ac:dyDescent="0.5">
      <c r="C15" s="157" t="s">
        <v>0</v>
      </c>
      <c r="D15" s="157"/>
      <c r="E15" s="158" t="s">
        <v>182</v>
      </c>
      <c r="F15" s="158"/>
      <c r="G15" s="159" t="s">
        <v>188</v>
      </c>
      <c r="H15" s="450" t="s">
        <v>308</v>
      </c>
      <c r="I15" s="158"/>
      <c r="J15" s="160" t="s">
        <v>183</v>
      </c>
      <c r="K15" s="158"/>
      <c r="L15" s="161" t="s">
        <v>45</v>
      </c>
      <c r="M15" s="161"/>
      <c r="N15" s="163" t="s">
        <v>102</v>
      </c>
      <c r="O15" s="408"/>
      <c r="P15" s="163" t="s">
        <v>103</v>
      </c>
      <c r="Q15" s="408"/>
      <c r="R15" s="162" t="s">
        <v>96</v>
      </c>
      <c r="S15" s="408"/>
      <c r="T15" s="510" t="s">
        <v>267</v>
      </c>
      <c r="U15" s="408"/>
      <c r="V15" s="163" t="s">
        <v>305</v>
      </c>
      <c r="W15" s="408"/>
      <c r="X15" s="163" t="s">
        <v>306</v>
      </c>
      <c r="Y15" s="435" t="s">
        <v>307</v>
      </c>
      <c r="Z15" s="435" t="s">
        <v>309</v>
      </c>
      <c r="AA15" s="409"/>
      <c r="AB15" s="162" t="s">
        <v>106</v>
      </c>
      <c r="AE15" s="503"/>
    </row>
    <row r="16" spans="2:33" s="167" customFormat="1" ht="24.4" customHeight="1" x14ac:dyDescent="0.5">
      <c r="B16" s="164" t="s">
        <v>107</v>
      </c>
      <c r="C16" s="165" t="s">
        <v>108</v>
      </c>
      <c r="D16" s="165"/>
      <c r="E16" s="166"/>
      <c r="F16" s="166"/>
      <c r="H16" s="454"/>
      <c r="I16" s="467"/>
      <c r="J16" s="168"/>
      <c r="K16" s="166"/>
      <c r="L16" s="166"/>
      <c r="M16" s="380"/>
      <c r="O16" s="390"/>
      <c r="Q16" s="390"/>
      <c r="S16" s="390"/>
      <c r="T16" s="485"/>
      <c r="U16" s="390"/>
      <c r="W16" s="390"/>
      <c r="Y16" s="436"/>
      <c r="Z16" s="436"/>
      <c r="AA16" s="390"/>
      <c r="AE16" s="504"/>
    </row>
    <row r="17" spans="1:35" ht="15.4" x14ac:dyDescent="0.45">
      <c r="A17" s="170"/>
      <c r="B17" s="171">
        <v>4110</v>
      </c>
      <c r="C17" s="172" t="s">
        <v>279</v>
      </c>
      <c r="D17" s="172"/>
      <c r="E17" s="173">
        <v>59608</v>
      </c>
      <c r="F17" s="173"/>
      <c r="G17" s="174">
        <f>'Calculation '!F83+540+121</f>
        <v>49210</v>
      </c>
      <c r="H17" s="455">
        <v>84360</v>
      </c>
      <c r="I17" s="468"/>
      <c r="J17" s="175">
        <f>+AB17</f>
        <v>141018.648903872</v>
      </c>
      <c r="K17" s="173"/>
      <c r="L17" s="176">
        <v>0</v>
      </c>
      <c r="M17" s="394"/>
      <c r="N17" s="177">
        <v>0</v>
      </c>
      <c r="O17" s="396"/>
      <c r="P17" s="177">
        <v>0</v>
      </c>
      <c r="Q17" s="396"/>
      <c r="R17" s="177">
        <v>0</v>
      </c>
      <c r="S17" s="396"/>
      <c r="T17" s="486">
        <f>+T90</f>
        <v>98218.648903872003</v>
      </c>
      <c r="U17" s="396">
        <f>T17/J17</f>
        <v>0.69649404293204209</v>
      </c>
      <c r="V17" s="177">
        <f>V90</f>
        <v>42800</v>
      </c>
      <c r="W17" s="396">
        <f>V17/J17</f>
        <v>0.30350595706795785</v>
      </c>
      <c r="X17" s="177">
        <v>0</v>
      </c>
      <c r="Y17" s="437"/>
      <c r="Z17" s="437"/>
      <c r="AA17" s="396"/>
      <c r="AB17" s="174">
        <f>+L17+N17+P17+R17+T17+V17+X17</f>
        <v>141018.648903872</v>
      </c>
      <c r="AD17" s="178">
        <f>+AB17</f>
        <v>141018.648903872</v>
      </c>
      <c r="AE17" s="505"/>
    </row>
    <row r="18" spans="1:35" ht="15.4" x14ac:dyDescent="0.45">
      <c r="A18" s="170"/>
      <c r="B18" s="171"/>
      <c r="C18" s="172" t="s">
        <v>278</v>
      </c>
      <c r="D18" s="172"/>
      <c r="E18" s="183">
        <f>'2020 Budget MH'!AA89</f>
        <v>996370</v>
      </c>
      <c r="F18" s="183"/>
      <c r="G18" s="182">
        <f>'Calculation '!I79-98024</f>
        <v>336646.5</v>
      </c>
      <c r="H18" s="463">
        <v>577108</v>
      </c>
      <c r="I18" s="469"/>
      <c r="J18" s="219">
        <f>+AB18</f>
        <v>1041782.8006530399</v>
      </c>
      <c r="K18" s="173"/>
      <c r="L18" s="398">
        <v>0</v>
      </c>
      <c r="M18" s="394"/>
      <c r="N18" s="400">
        <v>0</v>
      </c>
      <c r="O18" s="396"/>
      <c r="P18" s="400">
        <v>0</v>
      </c>
      <c r="Q18" s="396"/>
      <c r="R18" s="400">
        <v>0</v>
      </c>
      <c r="S18" s="396"/>
      <c r="T18" s="487">
        <v>0</v>
      </c>
      <c r="U18" s="396" t="s">
        <v>0</v>
      </c>
      <c r="V18" s="400">
        <v>0</v>
      </c>
      <c r="W18" s="396"/>
      <c r="X18" s="400">
        <f>+X83</f>
        <v>1041782.8006530399</v>
      </c>
      <c r="Y18" s="480">
        <v>1002834</v>
      </c>
      <c r="Z18" s="480">
        <f>26895+432589-24227</f>
        <v>435257</v>
      </c>
      <c r="AA18" s="396">
        <f>X18/J18</f>
        <v>1</v>
      </c>
      <c r="AB18" s="174">
        <f t="shared" ref="AB18:AB22" si="0">+L18+N18+P18+R18+T18+V18+X18</f>
        <v>1041782.8006530399</v>
      </c>
      <c r="AD18" s="178"/>
      <c r="AE18" s="345"/>
    </row>
    <row r="19" spans="1:35" ht="15.4" x14ac:dyDescent="0.45">
      <c r="A19" s="170"/>
      <c r="B19" s="171"/>
      <c r="C19" s="172" t="s">
        <v>110</v>
      </c>
      <c r="D19" s="172"/>
      <c r="E19" s="183">
        <v>105166</v>
      </c>
      <c r="F19" s="183"/>
      <c r="G19" s="182">
        <v>98024</v>
      </c>
      <c r="H19" s="463">
        <v>168041</v>
      </c>
      <c r="I19" s="469"/>
      <c r="J19" s="219">
        <f>+AB19</f>
        <v>117596</v>
      </c>
      <c r="K19" s="179"/>
      <c r="L19" s="398">
        <v>117596</v>
      </c>
      <c r="M19" s="394">
        <f>L19/J19</f>
        <v>1</v>
      </c>
      <c r="N19" s="400">
        <v>0</v>
      </c>
      <c r="O19" s="396"/>
      <c r="P19" s="400">
        <v>0</v>
      </c>
      <c r="Q19" s="396"/>
      <c r="R19" s="400">
        <v>0</v>
      </c>
      <c r="S19" s="396"/>
      <c r="T19" s="487">
        <v>0</v>
      </c>
      <c r="U19" s="396" t="s">
        <v>0</v>
      </c>
      <c r="V19" s="400">
        <v>0</v>
      </c>
      <c r="W19" s="396"/>
      <c r="X19" s="400">
        <v>0</v>
      </c>
      <c r="Y19" s="441"/>
      <c r="Z19" s="441"/>
      <c r="AA19" s="396"/>
      <c r="AB19" s="174">
        <f t="shared" si="0"/>
        <v>117596</v>
      </c>
      <c r="AD19" s="178">
        <f>+AB19</f>
        <v>117596</v>
      </c>
      <c r="AE19" s="345"/>
    </row>
    <row r="20" spans="1:35" ht="15.4" x14ac:dyDescent="0.45">
      <c r="A20" s="170"/>
      <c r="B20" s="171"/>
      <c r="C20" s="172" t="s">
        <v>51</v>
      </c>
      <c r="D20" s="172"/>
      <c r="E20" s="183">
        <v>79276</v>
      </c>
      <c r="F20" s="183"/>
      <c r="G20" s="182">
        <f>'Calculation '!F90</f>
        <v>49475.5</v>
      </c>
      <c r="H20" s="463">
        <v>79276</v>
      </c>
      <c r="I20" s="469"/>
      <c r="J20" s="219">
        <f>+AB20</f>
        <v>68760</v>
      </c>
      <c r="K20" s="179"/>
      <c r="L20" s="398">
        <v>0</v>
      </c>
      <c r="M20" s="394"/>
      <c r="N20" s="400">
        <f>'Calculation '!K25</f>
        <v>15700</v>
      </c>
      <c r="O20" s="396">
        <f>N20/J20</f>
        <v>0.22833042466550321</v>
      </c>
      <c r="P20" s="400">
        <f>'Calculation '!K27</f>
        <v>14400</v>
      </c>
      <c r="Q20" s="396">
        <f>P20/J20</f>
        <v>0.20942408376963351</v>
      </c>
      <c r="R20" s="400">
        <f>'Calculation '!K26</f>
        <v>18700</v>
      </c>
      <c r="S20" s="396">
        <f>R20/J20</f>
        <v>0.27196044211751019</v>
      </c>
      <c r="T20" s="487">
        <v>9160</v>
      </c>
      <c r="U20" s="396">
        <f>T20/J20</f>
        <v>0.13321698662012799</v>
      </c>
      <c r="V20" s="400">
        <v>10800</v>
      </c>
      <c r="W20" s="396">
        <f>V20/J20</f>
        <v>0.15706806282722513</v>
      </c>
      <c r="X20" s="400">
        <v>0</v>
      </c>
      <c r="Y20" s="441"/>
      <c r="Z20" s="441"/>
      <c r="AA20" s="396"/>
      <c r="AB20" s="174">
        <f t="shared" si="0"/>
        <v>68760</v>
      </c>
      <c r="AD20" s="178">
        <f>+AB20</f>
        <v>68760</v>
      </c>
      <c r="AE20" s="345"/>
    </row>
    <row r="21" spans="1:35" ht="15.4" x14ac:dyDescent="0.45">
      <c r="A21" s="170"/>
      <c r="B21" s="171">
        <v>4120</v>
      </c>
      <c r="C21" s="172" t="s">
        <v>113</v>
      </c>
      <c r="D21" s="172"/>
      <c r="E21" s="183">
        <v>148000</v>
      </c>
      <c r="F21" s="183"/>
      <c r="G21" s="182">
        <v>118464</v>
      </c>
      <c r="H21" s="463">
        <v>118164</v>
      </c>
      <c r="I21" s="469"/>
      <c r="J21" s="219">
        <v>120000</v>
      </c>
      <c r="K21" s="179"/>
      <c r="L21" s="398">
        <v>120000</v>
      </c>
      <c r="M21" s="394">
        <f>L21/J21</f>
        <v>1</v>
      </c>
      <c r="N21" s="400">
        <v>0</v>
      </c>
      <c r="O21" s="396"/>
      <c r="P21" s="400">
        <v>0</v>
      </c>
      <c r="Q21" s="396"/>
      <c r="R21" s="400">
        <v>0</v>
      </c>
      <c r="S21" s="396"/>
      <c r="T21" s="487">
        <v>0</v>
      </c>
      <c r="U21" s="396" t="s">
        <v>0</v>
      </c>
      <c r="V21" s="400">
        <v>0</v>
      </c>
      <c r="W21" s="396"/>
      <c r="X21" s="400">
        <v>0</v>
      </c>
      <c r="Y21" s="441"/>
      <c r="Z21" s="441"/>
      <c r="AA21" s="396"/>
      <c r="AB21" s="174">
        <f t="shared" si="0"/>
        <v>120000</v>
      </c>
    </row>
    <row r="22" spans="1:35" ht="15.4" x14ac:dyDescent="0.45">
      <c r="A22" s="170"/>
      <c r="B22" s="171">
        <v>4150</v>
      </c>
      <c r="C22" s="172" t="s">
        <v>114</v>
      </c>
      <c r="D22" s="172"/>
      <c r="E22" s="183">
        <v>514700</v>
      </c>
      <c r="F22" s="183"/>
      <c r="G22" s="182">
        <v>250197</v>
      </c>
      <c r="H22" s="463">
        <v>428909</v>
      </c>
      <c r="I22" s="469"/>
      <c r="J22" s="219">
        <v>442200</v>
      </c>
      <c r="K22" s="179"/>
      <c r="L22" s="398">
        <v>0</v>
      </c>
      <c r="M22" s="394"/>
      <c r="N22" s="398">
        <v>142300</v>
      </c>
      <c r="O22" s="394">
        <f>N22/J22</f>
        <v>0.32180009045680685</v>
      </c>
      <c r="P22" s="398">
        <v>130600</v>
      </c>
      <c r="Q22" s="394">
        <f>P22/J22</f>
        <v>0.29534147444595205</v>
      </c>
      <c r="R22" s="398">
        <f>10000+159300</f>
        <v>169300</v>
      </c>
      <c r="S22" s="394">
        <f>R22/J22</f>
        <v>0.38285843509724105</v>
      </c>
      <c r="T22" s="488">
        <v>0</v>
      </c>
      <c r="U22" s="396" t="s">
        <v>0</v>
      </c>
      <c r="V22" s="402">
        <v>0</v>
      </c>
      <c r="W22" s="407"/>
      <c r="X22" s="402">
        <v>0</v>
      </c>
      <c r="Y22" s="481"/>
      <c r="Z22" s="481"/>
      <c r="AA22" s="407"/>
      <c r="AB22" s="174">
        <f t="shared" si="0"/>
        <v>442200</v>
      </c>
    </row>
    <row r="23" spans="1:35" ht="15.4" x14ac:dyDescent="0.45">
      <c r="A23" s="170"/>
      <c r="B23" s="171">
        <v>4990</v>
      </c>
      <c r="C23" s="483" t="s">
        <v>311</v>
      </c>
      <c r="D23" s="172"/>
      <c r="E23" s="183">
        <v>0</v>
      </c>
      <c r="F23" s="183"/>
      <c r="G23" s="188">
        <v>123</v>
      </c>
      <c r="H23" s="501">
        <v>211</v>
      </c>
      <c r="I23" s="502"/>
      <c r="J23" s="219">
        <v>200</v>
      </c>
      <c r="K23" s="179"/>
      <c r="L23" s="399">
        <v>200</v>
      </c>
      <c r="M23" s="397"/>
      <c r="N23" s="401">
        <v>0</v>
      </c>
      <c r="O23" s="406"/>
      <c r="P23" s="401">
        <v>0</v>
      </c>
      <c r="Q23" s="406"/>
      <c r="R23" s="401">
        <v>0</v>
      </c>
      <c r="S23" s="406"/>
      <c r="T23" s="489">
        <v>0</v>
      </c>
      <c r="U23" s="396" t="s">
        <v>0</v>
      </c>
      <c r="V23" s="401">
        <v>0</v>
      </c>
      <c r="W23" s="406"/>
      <c r="X23" s="401">
        <v>0</v>
      </c>
      <c r="Y23" s="482"/>
      <c r="Z23" s="482"/>
      <c r="AA23" s="406"/>
      <c r="AB23" s="174">
        <v>200</v>
      </c>
      <c r="AD23" s="189"/>
      <c r="AH23" s="7"/>
      <c r="AI23" s="7"/>
    </row>
    <row r="24" spans="1:35" thickBot="1" x14ac:dyDescent="0.5">
      <c r="A24" s="170"/>
      <c r="B24" s="171"/>
      <c r="C24" s="190" t="s">
        <v>116</v>
      </c>
      <c r="D24" s="190"/>
      <c r="E24" s="191">
        <f>SUM(E17:E23)</f>
        <v>1903120</v>
      </c>
      <c r="F24" s="191"/>
      <c r="G24" s="192">
        <f>SUM(G17:G23)</f>
        <v>902140</v>
      </c>
      <c r="H24" s="457">
        <f>SUM(H17:H23)</f>
        <v>1456069</v>
      </c>
      <c r="I24" s="471"/>
      <c r="J24" s="193">
        <f>SUM(J17:J23)</f>
        <v>1931557.4495569118</v>
      </c>
      <c r="K24" s="191"/>
      <c r="L24" s="194">
        <f>SUM(L17:L23)</f>
        <v>237796</v>
      </c>
      <c r="M24" s="381"/>
      <c r="N24" s="194">
        <f>SUM(N17:N23)</f>
        <v>158000</v>
      </c>
      <c r="O24" s="381"/>
      <c r="P24" s="194">
        <f>SUM(P17:P23)</f>
        <v>145000</v>
      </c>
      <c r="Q24" s="381"/>
      <c r="R24" s="194">
        <f>SUM(R17:R23)</f>
        <v>188000</v>
      </c>
      <c r="S24" s="381"/>
      <c r="T24" s="490">
        <f>SUM(T17:T23)</f>
        <v>107378.648903872</v>
      </c>
      <c r="U24" s="381"/>
      <c r="V24" s="194">
        <f>SUM(V17:V23)</f>
        <v>53600</v>
      </c>
      <c r="W24" s="381"/>
      <c r="X24" s="194">
        <f>SUM(X17:X23)</f>
        <v>1041782.8006530399</v>
      </c>
      <c r="Y24" s="438">
        <f>SUM(Y17:Y23)</f>
        <v>1002834</v>
      </c>
      <c r="Z24" s="438">
        <f t="shared" ref="Z24" si="1">SUM(Z17:Z23)</f>
        <v>435257</v>
      </c>
      <c r="AA24" s="381"/>
      <c r="AB24" s="194">
        <f>SUM(AB17:AB23)</f>
        <v>1931557.4495569118</v>
      </c>
      <c r="AD24" s="52">
        <f>SUM(AD17:AD23)</f>
        <v>327374.648903872</v>
      </c>
      <c r="AE24" s="52">
        <f>+L24+N24+P24+R24+T24+V24+X24</f>
        <v>1931557.4495569118</v>
      </c>
      <c r="AH24" s="7"/>
      <c r="AI24" s="7"/>
    </row>
    <row r="25" spans="1:35" thickTop="1" x14ac:dyDescent="0.45">
      <c r="A25" s="170"/>
      <c r="B25" s="171"/>
      <c r="C25" s="172"/>
      <c r="D25" s="172"/>
      <c r="E25" s="195"/>
      <c r="F25" s="195"/>
      <c r="G25" s="196"/>
      <c r="H25" s="458"/>
      <c r="I25" s="472"/>
      <c r="J25" s="197"/>
      <c r="K25" s="195"/>
      <c r="L25" s="195"/>
      <c r="M25" s="382"/>
      <c r="N25" s="178"/>
      <c r="O25" s="391"/>
      <c r="P25" s="178"/>
      <c r="Q25" s="391"/>
      <c r="R25" s="178"/>
      <c r="S25" s="391"/>
      <c r="T25" s="5"/>
      <c r="U25" s="393"/>
      <c r="W25" s="393"/>
      <c r="Y25" s="439"/>
      <c r="Z25" s="439"/>
      <c r="AA25" s="393"/>
      <c r="AB25" s="198" t="s">
        <v>0</v>
      </c>
      <c r="AD25" s="189">
        <v>-164774</v>
      </c>
      <c r="AH25" s="7"/>
      <c r="AI25" s="7"/>
    </row>
    <row r="26" spans="1:35" ht="15.4" x14ac:dyDescent="0.45">
      <c r="A26" s="170"/>
      <c r="B26" s="171"/>
      <c r="C26" s="165" t="s">
        <v>117</v>
      </c>
      <c r="D26" s="165"/>
      <c r="E26" s="195"/>
      <c r="F26" s="195"/>
      <c r="G26" s="196"/>
      <c r="H26" s="458"/>
      <c r="I26" s="472"/>
      <c r="J26" s="197"/>
      <c r="K26" s="195"/>
      <c r="L26" s="195"/>
      <c r="M26" s="382"/>
      <c r="N26" s="178"/>
      <c r="O26" s="391"/>
      <c r="P26" s="178"/>
      <c r="Q26" s="391"/>
      <c r="R26" s="178"/>
      <c r="S26" s="391"/>
      <c r="T26" s="5"/>
      <c r="U26" s="393"/>
      <c r="W26" s="393"/>
      <c r="Y26" s="439"/>
      <c r="Z26" s="439"/>
      <c r="AA26" s="393"/>
      <c r="AB26" s="198" t="s">
        <v>0</v>
      </c>
      <c r="AD26" s="52">
        <f>SUM(AD24:AD25)</f>
        <v>162600.648903872</v>
      </c>
      <c r="AH26" s="7"/>
      <c r="AI26" s="7"/>
    </row>
    <row r="27" spans="1:35" ht="15.4" x14ac:dyDescent="0.45">
      <c r="A27" s="170"/>
      <c r="B27" s="171">
        <v>6000</v>
      </c>
      <c r="C27" s="172" t="s">
        <v>118</v>
      </c>
      <c r="D27" s="172"/>
      <c r="E27" s="173">
        <v>424250</v>
      </c>
      <c r="F27" s="173"/>
      <c r="G27" s="174">
        <f>167850+70000</f>
        <v>237850</v>
      </c>
      <c r="H27" s="455">
        <f>(G27/7)*12</f>
        <v>407742.85714285716</v>
      </c>
      <c r="I27" s="468"/>
      <c r="J27" s="175">
        <f>'2021 Salaries'!G18</f>
        <v>430033.71240000002</v>
      </c>
      <c r="K27" s="173"/>
      <c r="L27" s="176">
        <v>80000</v>
      </c>
      <c r="M27" s="394">
        <f t="shared" ref="M27:M32" si="2">L27/J27</f>
        <v>0.18603192655181236</v>
      </c>
      <c r="N27" s="174">
        <v>0</v>
      </c>
      <c r="O27" s="396"/>
      <c r="P27" s="174">
        <v>0</v>
      </c>
      <c r="Q27" s="396"/>
      <c r="R27" s="174">
        <v>0</v>
      </c>
      <c r="S27" s="396"/>
      <c r="T27" s="491">
        <f>'2021 Salaries'!G46</f>
        <v>61799.938200000004</v>
      </c>
      <c r="U27" s="396">
        <f t="shared" ref="U27:U32" si="3">T27/J27</f>
        <v>0.14370951955161179</v>
      </c>
      <c r="V27" s="174">
        <v>0</v>
      </c>
      <c r="W27" s="396"/>
      <c r="X27" s="174">
        <f>'2021 Salaries'!G37+20000</f>
        <v>288233.77419999999</v>
      </c>
      <c r="Y27" s="441">
        <v>228927</v>
      </c>
      <c r="Z27" s="441">
        <v>162564</v>
      </c>
      <c r="AA27" s="396">
        <f t="shared" ref="AA27:AA32" si="4">X27/J27</f>
        <v>0.67025855389657574</v>
      </c>
      <c r="AB27" s="174">
        <f>+L27+N27+P27+R27+T27+V27+X27</f>
        <v>430033.71239999996</v>
      </c>
      <c r="AH27" s="7"/>
      <c r="AI27" s="7"/>
    </row>
    <row r="28" spans="1:35" ht="15.4" x14ac:dyDescent="0.45">
      <c r="A28" s="170"/>
      <c r="B28" s="171">
        <v>6100</v>
      </c>
      <c r="C28" s="172" t="s">
        <v>15</v>
      </c>
      <c r="D28" s="172"/>
      <c r="E28" s="183">
        <v>23274</v>
      </c>
      <c r="F28" s="183"/>
      <c r="G28" s="182">
        <v>11385</v>
      </c>
      <c r="H28" s="463">
        <f t="shared" ref="H28:H32" si="5">(G28/7)*12</f>
        <v>19517.142857142855</v>
      </c>
      <c r="I28" s="469"/>
      <c r="J28" s="219">
        <f>'2021 Salaries'!H18</f>
        <v>32897.578998599995</v>
      </c>
      <c r="K28" s="179"/>
      <c r="L28" s="179">
        <v>6120</v>
      </c>
      <c r="M28" s="394">
        <f t="shared" si="2"/>
        <v>0.18603192655181239</v>
      </c>
      <c r="N28" s="180">
        <v>0</v>
      </c>
      <c r="O28" s="396"/>
      <c r="P28" s="182">
        <v>0</v>
      </c>
      <c r="Q28" s="396"/>
      <c r="R28" s="182">
        <v>0</v>
      </c>
      <c r="S28" s="396"/>
      <c r="T28" s="492">
        <f>'2021 Salaries'!H46</f>
        <v>4727.6952723000004</v>
      </c>
      <c r="U28" s="396">
        <f t="shared" si="3"/>
        <v>0.14370951955161182</v>
      </c>
      <c r="V28" s="182">
        <v>0</v>
      </c>
      <c r="W28" s="396"/>
      <c r="X28" s="182">
        <f>'2021 Salaries'!H37+1530</f>
        <v>22049.883726299999</v>
      </c>
      <c r="Y28" s="441">
        <v>16978</v>
      </c>
      <c r="Z28" s="441">
        <v>12421</v>
      </c>
      <c r="AA28" s="396">
        <f t="shared" si="4"/>
        <v>0.67025855389657596</v>
      </c>
      <c r="AB28" s="174">
        <f t="shared" ref="AB28:AB32" si="6">+L28+N28+P28+R28+T28+V28+X28</f>
        <v>32897.578998600002</v>
      </c>
      <c r="AH28" s="7"/>
      <c r="AI28" s="7"/>
    </row>
    <row r="29" spans="1:35" ht="15.4" x14ac:dyDescent="0.45">
      <c r="A29" s="170"/>
      <c r="B29" s="171">
        <v>6110</v>
      </c>
      <c r="C29" s="172" t="s">
        <v>120</v>
      </c>
      <c r="D29" s="172"/>
      <c r="E29" s="183">
        <v>4210</v>
      </c>
      <c r="F29" s="183"/>
      <c r="G29" s="182">
        <v>3353</v>
      </c>
      <c r="H29" s="463">
        <f t="shared" si="5"/>
        <v>5748</v>
      </c>
      <c r="I29" s="469"/>
      <c r="J29" s="219">
        <f>'2021 Salaries'!J18</f>
        <v>5021.4500000000007</v>
      </c>
      <c r="K29" s="179"/>
      <c r="L29" s="179">
        <v>574</v>
      </c>
      <c r="M29" s="394">
        <f t="shared" si="2"/>
        <v>0.11430961176552588</v>
      </c>
      <c r="N29" s="180">
        <v>0</v>
      </c>
      <c r="O29" s="396"/>
      <c r="P29" s="182">
        <v>0</v>
      </c>
      <c r="Q29" s="396"/>
      <c r="R29" s="182">
        <v>0</v>
      </c>
      <c r="S29" s="396"/>
      <c r="T29" s="492">
        <f>'2021 Salaries'!J46</f>
        <v>717.35</v>
      </c>
      <c r="U29" s="396">
        <f t="shared" si="3"/>
        <v>0.14285714285714285</v>
      </c>
      <c r="V29" s="182">
        <v>0</v>
      </c>
      <c r="W29" s="396"/>
      <c r="X29" s="182">
        <f>'2021 Salaries'!J37+143</f>
        <v>3729.75</v>
      </c>
      <c r="Y29" s="441">
        <v>1743</v>
      </c>
      <c r="Z29" s="441">
        <v>2825</v>
      </c>
      <c r="AA29" s="396">
        <f t="shared" si="4"/>
        <v>0.74276354439454728</v>
      </c>
      <c r="AB29" s="174">
        <f t="shared" si="6"/>
        <v>5021.1000000000004</v>
      </c>
    </row>
    <row r="30" spans="1:35" ht="15.4" x14ac:dyDescent="0.45">
      <c r="A30" s="170"/>
      <c r="B30" s="171">
        <v>6200</v>
      </c>
      <c r="C30" s="199" t="s">
        <v>121</v>
      </c>
      <c r="D30" s="199"/>
      <c r="E30" s="183">
        <v>28402</v>
      </c>
      <c r="F30" s="183"/>
      <c r="G30" s="182">
        <v>20370</v>
      </c>
      <c r="H30" s="463">
        <f t="shared" si="5"/>
        <v>34920</v>
      </c>
      <c r="I30" s="469"/>
      <c r="J30" s="219">
        <f>'2021 Salaries'!N18</f>
        <v>53070.867200000001</v>
      </c>
      <c r="K30" s="179"/>
      <c r="L30" s="179">
        <v>0</v>
      </c>
      <c r="M30" s="394">
        <f t="shared" si="2"/>
        <v>0</v>
      </c>
      <c r="N30" s="180">
        <v>0</v>
      </c>
      <c r="O30" s="396"/>
      <c r="P30" s="182">
        <v>0</v>
      </c>
      <c r="Q30" s="396"/>
      <c r="R30" s="182">
        <v>0</v>
      </c>
      <c r="S30" s="396"/>
      <c r="T30" s="492">
        <f>'2021 Salaries'!M46</f>
        <v>29474.411199999999</v>
      </c>
      <c r="U30" s="396">
        <f t="shared" si="3"/>
        <v>0.55537836020135734</v>
      </c>
      <c r="V30" s="182">
        <v>0</v>
      </c>
      <c r="W30" s="396"/>
      <c r="X30" s="182">
        <f>'2021 Salaries'!M37</f>
        <v>23596.455999999998</v>
      </c>
      <c r="Y30" s="441">
        <v>12310</v>
      </c>
      <c r="Z30" s="441">
        <v>12878</v>
      </c>
      <c r="AA30" s="396">
        <f t="shared" si="4"/>
        <v>0.44462163979864261</v>
      </c>
      <c r="AB30" s="174">
        <f t="shared" si="6"/>
        <v>53070.867199999993</v>
      </c>
    </row>
    <row r="31" spans="1:35" ht="15.4" x14ac:dyDescent="0.45">
      <c r="A31" s="170"/>
      <c r="B31" s="171">
        <v>6210</v>
      </c>
      <c r="C31" s="199" t="s">
        <v>122</v>
      </c>
      <c r="D31" s="199"/>
      <c r="E31" s="183">
        <v>43204</v>
      </c>
      <c r="F31" s="183"/>
      <c r="G31" s="182">
        <v>23834</v>
      </c>
      <c r="H31" s="463">
        <f t="shared" si="5"/>
        <v>40858.28571428571</v>
      </c>
      <c r="I31" s="469"/>
      <c r="J31" s="219">
        <f>'2021 Salaries'!I18</f>
        <v>61064.787160799991</v>
      </c>
      <c r="K31" s="179"/>
      <c r="L31" s="179">
        <v>11360</v>
      </c>
      <c r="M31" s="394">
        <f t="shared" si="2"/>
        <v>0.18603192655181239</v>
      </c>
      <c r="N31" s="180">
        <v>0</v>
      </c>
      <c r="O31" s="396"/>
      <c r="P31" s="182">
        <v>0</v>
      </c>
      <c r="Q31" s="396"/>
      <c r="R31" s="182">
        <v>0</v>
      </c>
      <c r="S31" s="396"/>
      <c r="T31" s="492">
        <f>'2021 Salaries'!I46</f>
        <v>8775.5912243999992</v>
      </c>
      <c r="U31" s="396">
        <f t="shared" si="3"/>
        <v>0.14370951955161179</v>
      </c>
      <c r="V31" s="182">
        <v>0</v>
      </c>
      <c r="W31" s="396"/>
      <c r="X31" s="182">
        <f>'2021 Salaries'!I37+2840</f>
        <v>40929.195936399999</v>
      </c>
      <c r="Y31" s="441">
        <v>30982</v>
      </c>
      <c r="Z31" s="441">
        <v>22176</v>
      </c>
      <c r="AA31" s="396">
        <f t="shared" si="4"/>
        <v>0.67025855389657596</v>
      </c>
      <c r="AB31" s="174">
        <f t="shared" si="6"/>
        <v>61064.787160799999</v>
      </c>
    </row>
    <row r="32" spans="1:35" ht="15.4" x14ac:dyDescent="0.45">
      <c r="A32" s="170"/>
      <c r="B32" s="171">
        <v>6215</v>
      </c>
      <c r="C32" s="199" t="s">
        <v>123</v>
      </c>
      <c r="D32" s="199"/>
      <c r="E32" s="183">
        <v>640</v>
      </c>
      <c r="F32" s="183"/>
      <c r="G32" s="188">
        <v>420</v>
      </c>
      <c r="H32" s="463">
        <f t="shared" si="5"/>
        <v>720</v>
      </c>
      <c r="I32" s="469"/>
      <c r="J32" s="219">
        <f>'2021 Salaries'!K18</f>
        <v>1161.0910234799999</v>
      </c>
      <c r="K32" s="179"/>
      <c r="L32" s="186">
        <v>216</v>
      </c>
      <c r="M32" s="394">
        <f t="shared" si="2"/>
        <v>0.18603192655181239</v>
      </c>
      <c r="N32" s="185">
        <v>0</v>
      </c>
      <c r="O32" s="405"/>
      <c r="P32" s="188">
        <v>0</v>
      </c>
      <c r="Q32" s="405"/>
      <c r="R32" s="188">
        <v>0</v>
      </c>
      <c r="S32" s="405"/>
      <c r="T32" s="493">
        <f>'2021 Salaries'!K46</f>
        <v>166.85983314000001</v>
      </c>
      <c r="U32" s="396">
        <f t="shared" si="3"/>
        <v>0.14370951955161182</v>
      </c>
      <c r="V32" s="188">
        <v>0</v>
      </c>
      <c r="W32" s="405"/>
      <c r="X32" s="188">
        <f>'2021 Salaries'!K37+54</f>
        <v>778.2311903399999</v>
      </c>
      <c r="Y32" s="442">
        <v>1972</v>
      </c>
      <c r="Z32" s="442">
        <v>386</v>
      </c>
      <c r="AA32" s="396">
        <f t="shared" si="4"/>
        <v>0.67025855389657585</v>
      </c>
      <c r="AB32" s="174">
        <f t="shared" si="6"/>
        <v>1161.0910234799999</v>
      </c>
    </row>
    <row r="33" spans="1:31" s="207" customFormat="1" ht="18" x14ac:dyDescent="0.55000000000000004">
      <c r="A33" s="201"/>
      <c r="B33" s="171"/>
      <c r="C33" s="165" t="s">
        <v>124</v>
      </c>
      <c r="D33" s="165"/>
      <c r="E33" s="224">
        <f>SUM(E27:E32)</f>
        <v>523980</v>
      </c>
      <c r="F33" s="224"/>
      <c r="G33" s="227">
        <f>SUM(G27:G32)</f>
        <v>297212</v>
      </c>
      <c r="H33" s="464">
        <f>SUM(H27:H32)</f>
        <v>509506.28571428568</v>
      </c>
      <c r="I33" s="473"/>
      <c r="J33" s="225">
        <f>SUM(J27:J32)</f>
        <v>583249.48678288003</v>
      </c>
      <c r="K33" s="224"/>
      <c r="L33" s="206">
        <f>SUM(L27:L32)</f>
        <v>98270</v>
      </c>
      <c r="M33" s="383"/>
      <c r="N33" s="206">
        <f>SUM(N27:N32)</f>
        <v>0</v>
      </c>
      <c r="O33" s="383"/>
      <c r="P33" s="206">
        <f>SUM(P27:P32)</f>
        <v>0</v>
      </c>
      <c r="Q33" s="383"/>
      <c r="R33" s="206">
        <f>SUM(R27:R32)</f>
        <v>0</v>
      </c>
      <c r="S33" s="383"/>
      <c r="T33" s="494">
        <f>SUM(T27:T32)</f>
        <v>105661.84572984</v>
      </c>
      <c r="U33" s="383"/>
      <c r="V33" s="206">
        <f>SUM(V27:V32)</f>
        <v>0</v>
      </c>
      <c r="W33" s="383"/>
      <c r="X33" s="206">
        <f>SUM(X27:X32)</f>
        <v>379317.29105303995</v>
      </c>
      <c r="Y33" s="443">
        <f>SUM(Y27:Y32)</f>
        <v>292912</v>
      </c>
      <c r="Z33" s="443">
        <f>SUM(Z27:Z32)</f>
        <v>213250</v>
      </c>
      <c r="AA33" s="383"/>
      <c r="AB33" s="432">
        <f>SUM(AB27:AB32)</f>
        <v>583249.13678287994</v>
      </c>
      <c r="AE33" s="52">
        <f>+L33+N33+P33+R33+T33+V33+X33</f>
        <v>583249.13678287994</v>
      </c>
    </row>
    <row r="34" spans="1:31" ht="15.4" x14ac:dyDescent="0.45">
      <c r="A34" s="170"/>
      <c r="B34" s="171"/>
      <c r="C34" s="208"/>
      <c r="D34" s="208"/>
      <c r="E34" s="209"/>
      <c r="F34" s="209"/>
      <c r="G34" s="196"/>
      <c r="H34" s="458"/>
      <c r="I34" s="472"/>
      <c r="J34" s="210"/>
      <c r="K34" s="209"/>
      <c r="L34" s="211"/>
      <c r="M34" s="384"/>
      <c r="N34" s="52"/>
      <c r="O34" s="392"/>
      <c r="P34" s="52"/>
      <c r="Q34" s="392"/>
      <c r="R34" s="52"/>
      <c r="S34" s="392"/>
      <c r="T34" s="495"/>
      <c r="U34" s="392"/>
      <c r="V34" s="52"/>
      <c r="W34" s="392"/>
      <c r="X34" s="52"/>
      <c r="Y34" s="444"/>
      <c r="Z34" s="444"/>
      <c r="AA34" s="392"/>
      <c r="AB34" s="198" t="s">
        <v>0</v>
      </c>
    </row>
    <row r="35" spans="1:31" ht="15.4" x14ac:dyDescent="0.45">
      <c r="A35" s="170"/>
      <c r="B35" s="171"/>
      <c r="C35" s="172"/>
      <c r="D35" s="172"/>
      <c r="E35" s="195"/>
      <c r="F35" s="195"/>
      <c r="G35" s="196"/>
      <c r="H35" s="458"/>
      <c r="I35" s="472"/>
      <c r="J35" s="197"/>
      <c r="K35" s="195"/>
      <c r="L35" s="212"/>
      <c r="M35" s="385"/>
      <c r="N35" s="52"/>
      <c r="O35" s="392"/>
      <c r="P35" s="52"/>
      <c r="Q35" s="392"/>
      <c r="R35" s="52"/>
      <c r="S35" s="392"/>
      <c r="T35" s="495"/>
      <c r="U35" s="392"/>
      <c r="V35" s="52"/>
      <c r="W35" s="392"/>
      <c r="X35" s="52"/>
      <c r="Y35" s="444"/>
      <c r="Z35" s="444"/>
      <c r="AA35" s="392"/>
      <c r="AB35" s="198" t="s">
        <v>0</v>
      </c>
    </row>
    <row r="36" spans="1:31" ht="15.4" x14ac:dyDescent="0.45">
      <c r="A36" s="170"/>
      <c r="B36" s="171">
        <v>6300</v>
      </c>
      <c r="C36" s="213" t="s">
        <v>125</v>
      </c>
      <c r="D36" s="213"/>
      <c r="E36" s="173">
        <v>12000</v>
      </c>
      <c r="F36" s="173"/>
      <c r="G36" s="174">
        <v>11789</v>
      </c>
      <c r="H36" s="455">
        <f>(G36/7)*12</f>
        <v>20209.714285714286</v>
      </c>
      <c r="I36" s="468"/>
      <c r="J36" s="175">
        <v>12000</v>
      </c>
      <c r="K36" s="176"/>
      <c r="L36" s="173">
        <f t="shared" ref="L36:L41" si="7">J36*M36</f>
        <v>12000</v>
      </c>
      <c r="M36" s="394">
        <v>1</v>
      </c>
      <c r="N36" s="174">
        <v>0</v>
      </c>
      <c r="O36" s="396"/>
      <c r="P36" s="174">
        <v>0</v>
      </c>
      <c r="Q36" s="396"/>
      <c r="R36" s="174">
        <v>0</v>
      </c>
      <c r="S36" s="396"/>
      <c r="T36" s="491">
        <v>0</v>
      </c>
      <c r="U36" s="396"/>
      <c r="V36" s="174">
        <v>0</v>
      </c>
      <c r="W36" s="396"/>
      <c r="X36" s="174">
        <v>0</v>
      </c>
      <c r="Y36" s="441"/>
      <c r="Z36" s="441"/>
      <c r="AA36" s="396"/>
      <c r="AB36" s="174">
        <f>+L36+N36+P36+R36+T36+V36+X36</f>
        <v>12000</v>
      </c>
      <c r="AE36" s="52"/>
    </row>
    <row r="37" spans="1:31" ht="15.4" x14ac:dyDescent="0.45">
      <c r="A37" s="170"/>
      <c r="B37" s="171">
        <v>6310</v>
      </c>
      <c r="C37" s="213" t="s">
        <v>126</v>
      </c>
      <c r="D37" s="213"/>
      <c r="E37" s="179">
        <v>20000</v>
      </c>
      <c r="F37" s="179"/>
      <c r="G37" s="180">
        <v>0</v>
      </c>
      <c r="H37" s="456">
        <v>6000</v>
      </c>
      <c r="I37" s="470"/>
      <c r="J37" s="181">
        <v>33000</v>
      </c>
      <c r="K37" s="179"/>
      <c r="L37" s="183">
        <f t="shared" si="7"/>
        <v>18150</v>
      </c>
      <c r="M37" s="394">
        <v>0.55000000000000004</v>
      </c>
      <c r="N37" s="182">
        <v>0</v>
      </c>
      <c r="O37" s="396"/>
      <c r="P37" s="182">
        <v>0</v>
      </c>
      <c r="Q37" s="396"/>
      <c r="R37" s="182">
        <v>0</v>
      </c>
      <c r="S37" s="396"/>
      <c r="T37" s="492">
        <f>U37*J37</f>
        <v>5280</v>
      </c>
      <c r="U37" s="396">
        <v>0.16</v>
      </c>
      <c r="V37" s="182">
        <v>0</v>
      </c>
      <c r="W37" s="396"/>
      <c r="X37" s="182">
        <f>AA37*J37</f>
        <v>9570</v>
      </c>
      <c r="Y37" s="441">
        <v>4699</v>
      </c>
      <c r="Z37" s="441"/>
      <c r="AA37" s="396">
        <v>0.28999999999999998</v>
      </c>
      <c r="AB37" s="174">
        <f t="shared" ref="AB37:AB47" si="8">+L37+N37+P37+R37+T37+V37+X37</f>
        <v>33000</v>
      </c>
      <c r="AE37" s="52"/>
    </row>
    <row r="38" spans="1:31" ht="15.4" x14ac:dyDescent="0.45">
      <c r="A38" s="170"/>
      <c r="B38" s="171">
        <v>6320</v>
      </c>
      <c r="C38" s="199" t="s">
        <v>127</v>
      </c>
      <c r="D38" s="199"/>
      <c r="E38" s="179">
        <v>48500</v>
      </c>
      <c r="F38" s="179"/>
      <c r="G38" s="180">
        <v>29073</v>
      </c>
      <c r="H38" s="456">
        <f t="shared" ref="H38:H47" si="9">(G38/7)*12</f>
        <v>49839.42857142858</v>
      </c>
      <c r="I38" s="470"/>
      <c r="J38" s="181">
        <f>(2125*12)+(2400*12)</f>
        <v>54300</v>
      </c>
      <c r="K38" s="179"/>
      <c r="L38" s="183">
        <f t="shared" si="7"/>
        <v>27432.36</v>
      </c>
      <c r="M38" s="394">
        <v>0.50519999999999998</v>
      </c>
      <c r="N38" s="182">
        <v>0</v>
      </c>
      <c r="O38" s="396"/>
      <c r="P38" s="182">
        <v>0</v>
      </c>
      <c r="Q38" s="396"/>
      <c r="R38" s="182">
        <v>0</v>
      </c>
      <c r="S38" s="396"/>
      <c r="T38" s="492">
        <v>0</v>
      </c>
      <c r="U38" s="396"/>
      <c r="V38" s="182">
        <v>0</v>
      </c>
      <c r="W38" s="396"/>
      <c r="X38" s="182">
        <f>AA38*J38</f>
        <v>26867.64</v>
      </c>
      <c r="Y38" s="441">
        <v>36509</v>
      </c>
      <c r="Z38" s="441">
        <v>21123</v>
      </c>
      <c r="AA38" s="396">
        <v>0.49480000000000002</v>
      </c>
      <c r="AB38" s="174">
        <f t="shared" si="8"/>
        <v>54300</v>
      </c>
      <c r="AE38" s="52"/>
    </row>
    <row r="39" spans="1:31" ht="15.4" x14ac:dyDescent="0.45">
      <c r="A39" s="170"/>
      <c r="B39" s="171">
        <v>6330</v>
      </c>
      <c r="C39" s="483" t="s">
        <v>312</v>
      </c>
      <c r="D39" s="172"/>
      <c r="E39" s="179">
        <v>36000</v>
      </c>
      <c r="F39" s="179"/>
      <c r="G39" s="180">
        <v>24000</v>
      </c>
      <c r="H39" s="456">
        <f t="shared" si="9"/>
        <v>41142.857142857145</v>
      </c>
      <c r="I39" s="470"/>
      <c r="J39" s="181">
        <f>3000*12</f>
        <v>36000</v>
      </c>
      <c r="K39" s="179"/>
      <c r="L39" s="183">
        <f t="shared" si="7"/>
        <v>36000</v>
      </c>
      <c r="M39" s="396">
        <v>1</v>
      </c>
      <c r="N39" s="182">
        <v>0</v>
      </c>
      <c r="O39" s="396"/>
      <c r="P39" s="182">
        <v>0</v>
      </c>
      <c r="Q39" s="396"/>
      <c r="R39" s="182">
        <v>0</v>
      </c>
      <c r="S39" s="396"/>
      <c r="T39" s="492">
        <v>0</v>
      </c>
      <c r="U39" s="396"/>
      <c r="V39" s="182">
        <v>0</v>
      </c>
      <c r="W39" s="396"/>
      <c r="X39" s="182">
        <v>0</v>
      </c>
      <c r="Y39" s="441"/>
      <c r="Z39" s="441"/>
      <c r="AA39" s="396"/>
      <c r="AB39" s="174">
        <f t="shared" si="8"/>
        <v>36000</v>
      </c>
      <c r="AE39" s="52"/>
    </row>
    <row r="40" spans="1:31" ht="15.4" x14ac:dyDescent="0.45">
      <c r="A40" s="170"/>
      <c r="B40" s="171">
        <v>6340</v>
      </c>
      <c r="C40" s="172" t="s">
        <v>129</v>
      </c>
      <c r="D40" s="172"/>
      <c r="E40" s="179">
        <v>5000</v>
      </c>
      <c r="F40" s="179"/>
      <c r="G40" s="180">
        <v>2508</v>
      </c>
      <c r="H40" s="456">
        <f t="shared" si="9"/>
        <v>4299.4285714285716</v>
      </c>
      <c r="I40" s="470"/>
      <c r="J40" s="181">
        <f>'2021 Salaries'!L18</f>
        <v>5600.1399999999994</v>
      </c>
      <c r="K40" s="179"/>
      <c r="L40" s="183">
        <f t="shared" si="7"/>
        <v>1400.0349999999999</v>
      </c>
      <c r="M40" s="394">
        <v>0.25</v>
      </c>
      <c r="N40" s="182">
        <v>0</v>
      </c>
      <c r="O40" s="396"/>
      <c r="P40" s="182">
        <v>0</v>
      </c>
      <c r="Q40" s="396"/>
      <c r="R40" s="182">
        <v>0</v>
      </c>
      <c r="S40" s="396"/>
      <c r="T40" s="492">
        <f>U40*J40</f>
        <v>616.01539999999989</v>
      </c>
      <c r="U40" s="396">
        <v>0.11</v>
      </c>
      <c r="V40" s="182">
        <v>0</v>
      </c>
      <c r="W40" s="396"/>
      <c r="X40" s="182">
        <f>AA40*J40</f>
        <v>3584.0895999999998</v>
      </c>
      <c r="Y40" s="441">
        <v>3495</v>
      </c>
      <c r="Z40" s="441">
        <v>2504</v>
      </c>
      <c r="AA40" s="396">
        <v>0.64</v>
      </c>
      <c r="AB40" s="174">
        <f t="shared" si="8"/>
        <v>5600.1399999999994</v>
      </c>
      <c r="AE40" s="52"/>
    </row>
    <row r="41" spans="1:31" ht="30.4" x14ac:dyDescent="0.45">
      <c r="A41" s="170"/>
      <c r="B41" s="171">
        <v>6350</v>
      </c>
      <c r="C41" s="430" t="s">
        <v>202</v>
      </c>
      <c r="D41" s="213"/>
      <c r="E41" s="179">
        <v>76000</v>
      </c>
      <c r="F41" s="179"/>
      <c r="G41" s="180">
        <f>168568-70000</f>
        <v>98568</v>
      </c>
      <c r="H41" s="456">
        <f t="shared" si="9"/>
        <v>168973.71428571429</v>
      </c>
      <c r="I41" s="470"/>
      <c r="J41" s="181">
        <f>(5800*12)-5000</f>
        <v>64600</v>
      </c>
      <c r="K41" s="179"/>
      <c r="L41" s="183">
        <f t="shared" si="7"/>
        <v>64600</v>
      </c>
      <c r="M41" s="394">
        <v>1</v>
      </c>
      <c r="N41" s="182">
        <v>0</v>
      </c>
      <c r="O41" s="396"/>
      <c r="P41" s="182">
        <v>0</v>
      </c>
      <c r="Q41" s="396"/>
      <c r="R41" s="182">
        <v>0</v>
      </c>
      <c r="S41" s="396"/>
      <c r="T41" s="492">
        <v>0</v>
      </c>
      <c r="U41" s="396"/>
      <c r="V41" s="182">
        <v>0</v>
      </c>
      <c r="W41" s="396"/>
      <c r="X41" s="182">
        <v>0</v>
      </c>
      <c r="Y41" s="441">
        <v>7932</v>
      </c>
      <c r="Z41" s="441">
        <v>9531</v>
      </c>
      <c r="AA41" s="396"/>
      <c r="AB41" s="174">
        <f t="shared" si="8"/>
        <v>64600</v>
      </c>
      <c r="AE41" s="52"/>
    </row>
    <row r="42" spans="1:31" ht="15.4" x14ac:dyDescent="0.45">
      <c r="A42" s="170"/>
      <c r="B42" s="171">
        <v>6360</v>
      </c>
      <c r="C42" s="431" t="s">
        <v>131</v>
      </c>
      <c r="D42" s="199"/>
      <c r="E42" s="179">
        <v>40000</v>
      </c>
      <c r="F42" s="179"/>
      <c r="G42" s="180">
        <v>33592</v>
      </c>
      <c r="H42" s="456">
        <f t="shared" si="9"/>
        <v>57586.285714285717</v>
      </c>
      <c r="I42" s="470"/>
      <c r="J42" s="181">
        <f>14200+19200+(89*12)</f>
        <v>34468</v>
      </c>
      <c r="K42" s="179"/>
      <c r="L42" s="183">
        <v>4924</v>
      </c>
      <c r="M42" s="394" t="s">
        <v>0</v>
      </c>
      <c r="N42" s="182">
        <v>0</v>
      </c>
      <c r="O42" s="396"/>
      <c r="P42" s="182">
        <v>0</v>
      </c>
      <c r="Q42" s="396"/>
      <c r="R42" s="182">
        <v>0</v>
      </c>
      <c r="S42" s="396"/>
      <c r="T42" s="492">
        <v>4924</v>
      </c>
      <c r="U42" s="396" t="s">
        <v>0</v>
      </c>
      <c r="V42" s="182">
        <v>0</v>
      </c>
      <c r="W42" s="396"/>
      <c r="X42" s="182">
        <v>24620</v>
      </c>
      <c r="Y42" s="441">
        <v>33868</v>
      </c>
      <c r="Z42" s="441">
        <v>35156</v>
      </c>
      <c r="AA42" s="396">
        <v>0</v>
      </c>
      <c r="AB42" s="174">
        <f t="shared" si="8"/>
        <v>34468</v>
      </c>
      <c r="AE42" s="52"/>
    </row>
    <row r="43" spans="1:31" ht="15.4" x14ac:dyDescent="0.45">
      <c r="A43" s="170"/>
      <c r="B43" s="171">
        <v>6365</v>
      </c>
      <c r="C43" s="431" t="s">
        <v>314</v>
      </c>
      <c r="D43" s="199"/>
      <c r="E43" s="179">
        <v>17000</v>
      </c>
      <c r="F43" s="179"/>
      <c r="G43" s="180">
        <v>0</v>
      </c>
      <c r="H43" s="456">
        <f t="shared" si="9"/>
        <v>0</v>
      </c>
      <c r="I43" s="470"/>
      <c r="J43" s="181">
        <v>31000</v>
      </c>
      <c r="K43" s="179"/>
      <c r="L43" s="183">
        <f>J43*M43</f>
        <v>0</v>
      </c>
      <c r="M43" s="394"/>
      <c r="N43" s="182">
        <v>0</v>
      </c>
      <c r="O43" s="396"/>
      <c r="P43" s="182">
        <v>0</v>
      </c>
      <c r="Q43" s="396"/>
      <c r="R43" s="182">
        <v>0</v>
      </c>
      <c r="S43" s="396"/>
      <c r="T43" s="492">
        <v>0</v>
      </c>
      <c r="U43" s="396"/>
      <c r="V43" s="182">
        <v>0</v>
      </c>
      <c r="W43" s="396"/>
      <c r="X43" s="182">
        <f>AA43*J43</f>
        <v>31000</v>
      </c>
      <c r="Y43" s="441"/>
      <c r="Z43" s="441" t="s">
        <v>0</v>
      </c>
      <c r="AA43" s="396">
        <v>1</v>
      </c>
      <c r="AB43" s="174">
        <f t="shared" si="8"/>
        <v>31000</v>
      </c>
      <c r="AE43" s="52"/>
    </row>
    <row r="44" spans="1:31" ht="15.4" x14ac:dyDescent="0.45">
      <c r="A44" s="170"/>
      <c r="B44" s="171">
        <v>6370</v>
      </c>
      <c r="C44" s="199" t="s">
        <v>133</v>
      </c>
      <c r="D44" s="199"/>
      <c r="E44" s="179">
        <v>2550</v>
      </c>
      <c r="F44" s="179"/>
      <c r="G44" s="180">
        <v>681</v>
      </c>
      <c r="H44" s="456">
        <f t="shared" si="9"/>
        <v>1167.4285714285716</v>
      </c>
      <c r="I44" s="470"/>
      <c r="J44" s="181">
        <v>4800</v>
      </c>
      <c r="K44" s="179"/>
      <c r="L44" s="183">
        <f>J44*M44</f>
        <v>0</v>
      </c>
      <c r="M44" s="394"/>
      <c r="N44" s="182">
        <v>0</v>
      </c>
      <c r="O44" s="396"/>
      <c r="P44" s="182">
        <v>0</v>
      </c>
      <c r="Q44" s="396"/>
      <c r="R44" s="182">
        <v>0</v>
      </c>
      <c r="S44" s="396"/>
      <c r="T44" s="492">
        <v>0</v>
      </c>
      <c r="U44" s="396"/>
      <c r="V44" s="182">
        <v>0</v>
      </c>
      <c r="W44" s="396"/>
      <c r="X44" s="182">
        <v>4800</v>
      </c>
      <c r="Y44" s="441">
        <v>3944</v>
      </c>
      <c r="Z44" s="441">
        <v>681</v>
      </c>
      <c r="AA44" s="396">
        <v>1</v>
      </c>
      <c r="AB44" s="174">
        <f t="shared" si="8"/>
        <v>4800</v>
      </c>
      <c r="AE44" s="52"/>
    </row>
    <row r="45" spans="1:31" ht="15.4" x14ac:dyDescent="0.45">
      <c r="A45" s="170"/>
      <c r="B45" s="171">
        <v>6375</v>
      </c>
      <c r="C45" s="199" t="s">
        <v>134</v>
      </c>
      <c r="D45" s="199"/>
      <c r="E45" s="179">
        <v>164000</v>
      </c>
      <c r="F45" s="179"/>
      <c r="G45" s="180">
        <v>79250</v>
      </c>
      <c r="H45" s="456">
        <f t="shared" si="9"/>
        <v>135857.14285714284</v>
      </c>
      <c r="I45" s="470"/>
      <c r="J45" s="181">
        <v>198000</v>
      </c>
      <c r="K45" s="179"/>
      <c r="L45" s="183">
        <f>J45*M45</f>
        <v>0</v>
      </c>
      <c r="M45" s="394"/>
      <c r="N45" s="182">
        <v>0</v>
      </c>
      <c r="O45" s="396"/>
      <c r="P45" s="182">
        <v>0</v>
      </c>
      <c r="Q45" s="396"/>
      <c r="R45" s="182">
        <v>0</v>
      </c>
      <c r="S45" s="396"/>
      <c r="T45" s="492">
        <v>0</v>
      </c>
      <c r="U45" s="396"/>
      <c r="V45" s="182">
        <v>0</v>
      </c>
      <c r="W45" s="396"/>
      <c r="X45" s="182">
        <f>AA45*J45</f>
        <v>198000</v>
      </c>
      <c r="Y45" s="441">
        <f>208962-4019</f>
        <v>204943</v>
      </c>
      <c r="Z45" s="441">
        <v>78164</v>
      </c>
      <c r="AA45" s="396">
        <v>1</v>
      </c>
      <c r="AB45" s="174">
        <f t="shared" si="8"/>
        <v>198000</v>
      </c>
      <c r="AE45" s="52"/>
    </row>
    <row r="46" spans="1:31" ht="15.4" x14ac:dyDescent="0.45">
      <c r="A46" s="170"/>
      <c r="B46" s="171">
        <v>6380</v>
      </c>
      <c r="C46" s="172" t="s">
        <v>135</v>
      </c>
      <c r="D46" s="172"/>
      <c r="E46" s="179">
        <v>514700</v>
      </c>
      <c r="F46" s="179"/>
      <c r="G46" s="180">
        <v>317468</v>
      </c>
      <c r="H46" s="456">
        <f t="shared" si="9"/>
        <v>544230.85714285716</v>
      </c>
      <c r="I46" s="470"/>
      <c r="J46" s="181">
        <v>491000</v>
      </c>
      <c r="K46" s="179"/>
      <c r="L46" s="183">
        <f>J46*M46</f>
        <v>0</v>
      </c>
      <c r="M46" s="394"/>
      <c r="N46" s="182">
        <v>158000</v>
      </c>
      <c r="O46" s="396" t="s">
        <v>0</v>
      </c>
      <c r="P46" s="182">
        <v>145000</v>
      </c>
      <c r="Q46" s="396" t="s">
        <v>0</v>
      </c>
      <c r="R46" s="182">
        <v>188000</v>
      </c>
      <c r="S46" s="396" t="s">
        <v>0</v>
      </c>
      <c r="T46" s="492">
        <v>0</v>
      </c>
      <c r="U46" s="396"/>
      <c r="V46" s="182">
        <v>0</v>
      </c>
      <c r="W46" s="396"/>
      <c r="X46" s="182">
        <v>0</v>
      </c>
      <c r="Y46" s="441"/>
      <c r="Z46" s="441"/>
      <c r="AA46" s="396"/>
      <c r="AB46" s="174">
        <f t="shared" si="8"/>
        <v>491000</v>
      </c>
      <c r="AE46" s="52"/>
    </row>
    <row r="47" spans="1:31" ht="15.4" x14ac:dyDescent="0.45">
      <c r="A47" s="170"/>
      <c r="B47" s="171">
        <v>6390</v>
      </c>
      <c r="C47" s="199" t="s">
        <v>136</v>
      </c>
      <c r="D47" s="199"/>
      <c r="E47" s="179">
        <v>93000</v>
      </c>
      <c r="F47" s="179"/>
      <c r="G47" s="185">
        <v>43148</v>
      </c>
      <c r="H47" s="456">
        <f t="shared" si="9"/>
        <v>73968</v>
      </c>
      <c r="I47" s="470"/>
      <c r="J47" s="181">
        <v>85600</v>
      </c>
      <c r="K47" s="179"/>
      <c r="L47" s="183">
        <f>J47*M47</f>
        <v>0</v>
      </c>
      <c r="M47" s="397"/>
      <c r="N47" s="188">
        <v>0</v>
      </c>
      <c r="O47" s="405"/>
      <c r="P47" s="188">
        <v>0</v>
      </c>
      <c r="Q47" s="405"/>
      <c r="R47" s="188">
        <v>0</v>
      </c>
      <c r="S47" s="405"/>
      <c r="T47" s="493">
        <v>0</v>
      </c>
      <c r="U47" s="405"/>
      <c r="V47" s="188">
        <v>85600</v>
      </c>
      <c r="W47" s="405">
        <f>V47/J47</f>
        <v>1</v>
      </c>
      <c r="X47" s="188">
        <v>0</v>
      </c>
      <c r="Y47" s="445"/>
      <c r="Z47" s="445"/>
      <c r="AA47" s="405"/>
      <c r="AB47" s="174">
        <f t="shared" si="8"/>
        <v>85600</v>
      </c>
      <c r="AE47" s="52"/>
    </row>
    <row r="48" spans="1:31" ht="15.4" x14ac:dyDescent="0.45">
      <c r="A48" s="170"/>
      <c r="B48" s="171"/>
      <c r="C48" s="165" t="s">
        <v>137</v>
      </c>
      <c r="D48" s="165"/>
      <c r="E48" s="224">
        <f>SUM(E36:E47)</f>
        <v>1028750</v>
      </c>
      <c r="F48" s="224"/>
      <c r="G48" s="227">
        <f>SUM(G36:G47)</f>
        <v>640077</v>
      </c>
      <c r="H48" s="464">
        <f>SUM(H36:H47)</f>
        <v>1103274.8571428573</v>
      </c>
      <c r="I48" s="473"/>
      <c r="J48" s="225">
        <f>SUM(J36:J47)</f>
        <v>1050368.1400000001</v>
      </c>
      <c r="K48" s="224"/>
      <c r="L48" s="206">
        <f>SUM(L36:L47)</f>
        <v>164506.39500000002</v>
      </c>
      <c r="M48" s="383"/>
      <c r="N48" s="206">
        <f>SUM(N36:N47)</f>
        <v>158000</v>
      </c>
      <c r="O48" s="383"/>
      <c r="P48" s="206">
        <f>SUM(P36:P47)</f>
        <v>145000</v>
      </c>
      <c r="Q48" s="383"/>
      <c r="R48" s="206">
        <f>SUM(R36:R47)</f>
        <v>188000</v>
      </c>
      <c r="S48" s="383"/>
      <c r="T48" s="494">
        <f>SUM(T36:T47)</f>
        <v>10820.0154</v>
      </c>
      <c r="U48" s="383"/>
      <c r="V48" s="206">
        <f>SUM(V36:V47)</f>
        <v>85600</v>
      </c>
      <c r="W48" s="383"/>
      <c r="X48" s="206">
        <f>SUM(X36:X47)</f>
        <v>298441.72959999996</v>
      </c>
      <c r="Y48" s="443">
        <f>SUM(Y36:Y47)</f>
        <v>295390</v>
      </c>
      <c r="Z48" s="443">
        <f>SUM(Z36:Z47)</f>
        <v>147159</v>
      </c>
      <c r="AA48" s="383"/>
      <c r="AB48" s="227">
        <f>SUM(AB36:AB47)</f>
        <v>1050368.1400000001</v>
      </c>
      <c r="AE48" s="52">
        <f>+L48+N48+P48+R48+T48+V48+X48</f>
        <v>1050368.1400000001</v>
      </c>
    </row>
    <row r="49" spans="1:31" ht="15.4" x14ac:dyDescent="0.45">
      <c r="A49" s="216"/>
      <c r="B49" s="171"/>
      <c r="C49" s="172"/>
      <c r="D49" s="172"/>
      <c r="E49" s="195"/>
      <c r="F49" s="195"/>
      <c r="G49" s="196"/>
      <c r="H49" s="458"/>
      <c r="I49" s="472"/>
      <c r="J49" s="197"/>
      <c r="K49" s="195"/>
      <c r="L49" s="212"/>
      <c r="M49" s="385"/>
      <c r="N49" s="52"/>
      <c r="O49" s="392"/>
      <c r="P49" s="52"/>
      <c r="Q49" s="392"/>
      <c r="R49" s="52"/>
      <c r="S49" s="392"/>
      <c r="T49" s="495"/>
      <c r="U49" s="392"/>
      <c r="V49" s="52"/>
      <c r="W49" s="392"/>
      <c r="X49" s="52"/>
      <c r="Y49" s="444"/>
      <c r="Z49" s="444"/>
      <c r="AA49" s="392"/>
      <c r="AB49" s="198" t="s">
        <v>0</v>
      </c>
    </row>
    <row r="50" spans="1:31" ht="15.4" x14ac:dyDescent="0.45">
      <c r="A50" s="216"/>
      <c r="B50" s="171"/>
      <c r="C50" s="172"/>
      <c r="D50" s="172"/>
      <c r="E50" s="195"/>
      <c r="F50" s="195"/>
      <c r="G50" s="196"/>
      <c r="H50" s="458"/>
      <c r="I50" s="472"/>
      <c r="J50" s="197"/>
      <c r="K50" s="195"/>
      <c r="L50" s="212"/>
      <c r="M50" s="385"/>
      <c r="N50" s="52"/>
      <c r="O50" s="392"/>
      <c r="P50" s="52"/>
      <c r="Q50" s="392"/>
      <c r="R50" s="52"/>
      <c r="S50" s="392"/>
      <c r="T50" s="495"/>
      <c r="U50" s="392"/>
      <c r="V50" s="52"/>
      <c r="W50" s="392"/>
      <c r="X50" s="52"/>
      <c r="Y50" s="444"/>
      <c r="Z50" s="444"/>
      <c r="AA50" s="392"/>
      <c r="AB50" s="198" t="s">
        <v>0</v>
      </c>
    </row>
    <row r="51" spans="1:31" ht="15.4" x14ac:dyDescent="0.45">
      <c r="A51" s="216"/>
      <c r="B51" s="171">
        <v>6400</v>
      </c>
      <c r="C51" s="172" t="s">
        <v>138</v>
      </c>
      <c r="D51" s="172"/>
      <c r="E51" s="173">
        <v>2000</v>
      </c>
      <c r="F51" s="173"/>
      <c r="G51" s="174">
        <f>1477+122+8+88</f>
        <v>1695</v>
      </c>
      <c r="H51" s="455">
        <f>(G51/7)*12+151</f>
        <v>3056.7142857142858</v>
      </c>
      <c r="I51" s="468"/>
      <c r="J51" s="175">
        <v>2000</v>
      </c>
      <c r="K51" s="176"/>
      <c r="L51" s="173">
        <f>M51*J51</f>
        <v>1600</v>
      </c>
      <c r="M51" s="394">
        <v>0.8</v>
      </c>
      <c r="N51" s="198">
        <v>0</v>
      </c>
      <c r="O51" s="407"/>
      <c r="P51" s="198">
        <v>0</v>
      </c>
      <c r="Q51" s="407"/>
      <c r="R51" s="198">
        <v>0</v>
      </c>
      <c r="S51" s="407"/>
      <c r="T51" s="491">
        <f>U51*J51</f>
        <v>200</v>
      </c>
      <c r="U51" s="396">
        <v>0.1</v>
      </c>
      <c r="V51" s="174">
        <v>0</v>
      </c>
      <c r="W51" s="396"/>
      <c r="X51" s="177">
        <f>10%*J51</f>
        <v>200</v>
      </c>
      <c r="Y51" s="437">
        <f>933+177</f>
        <v>1110</v>
      </c>
      <c r="Z51" s="437">
        <f>1314+26</f>
        <v>1340</v>
      </c>
      <c r="AA51" s="396">
        <v>0.1</v>
      </c>
      <c r="AB51" s="174">
        <f>+L51+N51+P51+R51+T51+V51+X51</f>
        <v>2000</v>
      </c>
    </row>
    <row r="52" spans="1:31" ht="15.4" x14ac:dyDescent="0.45">
      <c r="A52" s="216"/>
      <c r="B52" s="171">
        <v>6415</v>
      </c>
      <c r="C52" s="199" t="s">
        <v>140</v>
      </c>
      <c r="D52" s="199"/>
      <c r="E52" s="183">
        <v>5700</v>
      </c>
      <c r="F52" s="183"/>
      <c r="G52" s="182">
        <f>5526+60</f>
        <v>5586</v>
      </c>
      <c r="H52" s="463">
        <f t="shared" ref="H52:H56" si="10">(G52/7)*12</f>
        <v>9576</v>
      </c>
      <c r="I52" s="469"/>
      <c r="J52" s="219">
        <f>5400+6075</f>
        <v>11475</v>
      </c>
      <c r="K52" s="179"/>
      <c r="L52" s="183">
        <v>675</v>
      </c>
      <c r="M52" s="394">
        <v>0</v>
      </c>
      <c r="N52" s="196">
        <v>0</v>
      </c>
      <c r="O52" s="407"/>
      <c r="P52" s="196">
        <v>0</v>
      </c>
      <c r="Q52" s="407"/>
      <c r="R52" s="196">
        <v>0</v>
      </c>
      <c r="S52" s="407"/>
      <c r="T52" s="492">
        <v>675</v>
      </c>
      <c r="U52" s="396">
        <v>0</v>
      </c>
      <c r="V52" s="182">
        <v>0</v>
      </c>
      <c r="W52" s="396"/>
      <c r="X52" s="180">
        <v>10125</v>
      </c>
      <c r="Y52" s="446">
        <v>9489</v>
      </c>
      <c r="Z52" s="446">
        <v>2225</v>
      </c>
      <c r="AA52" s="396">
        <v>0.63949999999999996</v>
      </c>
      <c r="AB52" s="174">
        <f t="shared" ref="AB52:AB57" si="11">+L52+N52+P52+R52+T52+V52+X52</f>
        <v>11475</v>
      </c>
    </row>
    <row r="53" spans="1:31" ht="15.4" x14ac:dyDescent="0.45">
      <c r="A53" s="170"/>
      <c r="B53" s="171">
        <v>6420</v>
      </c>
      <c r="C53" s="172" t="s">
        <v>141</v>
      </c>
      <c r="D53" s="172"/>
      <c r="E53" s="183">
        <v>1000</v>
      </c>
      <c r="F53" s="183"/>
      <c r="G53" s="182">
        <v>119</v>
      </c>
      <c r="H53" s="463">
        <f t="shared" si="10"/>
        <v>204</v>
      </c>
      <c r="I53" s="469"/>
      <c r="J53" s="219">
        <v>200</v>
      </c>
      <c r="K53" s="179"/>
      <c r="L53" s="183">
        <f>M53*J53</f>
        <v>200</v>
      </c>
      <c r="M53" s="394">
        <v>1</v>
      </c>
      <c r="N53" s="196">
        <v>0</v>
      </c>
      <c r="O53" s="407"/>
      <c r="P53" s="196">
        <v>0</v>
      </c>
      <c r="Q53" s="407"/>
      <c r="R53" s="196">
        <v>0</v>
      </c>
      <c r="S53" s="407"/>
      <c r="T53" s="492">
        <v>0</v>
      </c>
      <c r="U53" s="396"/>
      <c r="V53" s="182">
        <v>0</v>
      </c>
      <c r="W53" s="396"/>
      <c r="X53" s="180">
        <v>0</v>
      </c>
      <c r="Y53" s="446">
        <v>297</v>
      </c>
      <c r="Z53" s="446">
        <v>91</v>
      </c>
      <c r="AA53" s="396"/>
      <c r="AB53" s="174">
        <f t="shared" si="11"/>
        <v>200</v>
      </c>
    </row>
    <row r="54" spans="1:31" ht="15.4" x14ac:dyDescent="0.45">
      <c r="A54" s="170"/>
      <c r="B54" s="171">
        <v>6425</v>
      </c>
      <c r="C54" s="172" t="s">
        <v>142</v>
      </c>
      <c r="D54" s="172"/>
      <c r="E54" s="183">
        <v>2200</v>
      </c>
      <c r="F54" s="183"/>
      <c r="G54" s="182">
        <v>2700</v>
      </c>
      <c r="H54" s="463">
        <v>2700</v>
      </c>
      <c r="I54" s="469"/>
      <c r="J54" s="219">
        <v>2700</v>
      </c>
      <c r="K54" s="179"/>
      <c r="L54" s="183">
        <f>M54*J54</f>
        <v>2700</v>
      </c>
      <c r="M54" s="394">
        <v>1</v>
      </c>
      <c r="N54" s="196">
        <v>0</v>
      </c>
      <c r="O54" s="407"/>
      <c r="P54" s="196">
        <v>0</v>
      </c>
      <c r="Q54" s="407"/>
      <c r="R54" s="196">
        <v>0</v>
      </c>
      <c r="S54" s="407"/>
      <c r="T54" s="492">
        <v>0</v>
      </c>
      <c r="U54" s="396"/>
      <c r="V54" s="182">
        <v>0</v>
      </c>
      <c r="W54" s="396"/>
      <c r="X54" s="180">
        <v>0</v>
      </c>
      <c r="Y54" s="446">
        <v>905</v>
      </c>
      <c r="Z54" s="446"/>
      <c r="AA54" s="396"/>
      <c r="AB54" s="174">
        <f t="shared" si="11"/>
        <v>2700</v>
      </c>
    </row>
    <row r="55" spans="1:31" ht="15.4" x14ac:dyDescent="0.45">
      <c r="A55" s="170"/>
      <c r="B55" s="171">
        <v>6430</v>
      </c>
      <c r="C55" s="172" t="s">
        <v>316</v>
      </c>
      <c r="D55" s="172"/>
      <c r="E55" s="183">
        <v>12000</v>
      </c>
      <c r="F55" s="183"/>
      <c r="G55" s="182">
        <v>750</v>
      </c>
      <c r="H55" s="463">
        <f t="shared" si="10"/>
        <v>1285.7142857142858</v>
      </c>
      <c r="I55" s="469"/>
      <c r="J55" s="219">
        <v>4800</v>
      </c>
      <c r="K55" s="179"/>
      <c r="L55" s="183">
        <v>0</v>
      </c>
      <c r="M55" s="394">
        <v>0.6</v>
      </c>
      <c r="N55" s="196">
        <v>0</v>
      </c>
      <c r="O55" s="407"/>
      <c r="P55" s="196">
        <v>0</v>
      </c>
      <c r="Q55" s="407"/>
      <c r="R55" s="196">
        <v>0</v>
      </c>
      <c r="S55" s="407"/>
      <c r="T55" s="492">
        <f>U55*J55</f>
        <v>1200</v>
      </c>
      <c r="U55" s="396">
        <v>0.25</v>
      </c>
      <c r="V55" s="182">
        <v>0</v>
      </c>
      <c r="W55" s="396"/>
      <c r="X55" s="180">
        <v>3600</v>
      </c>
      <c r="Y55" s="446">
        <v>1451</v>
      </c>
      <c r="Z55" s="446">
        <v>1451</v>
      </c>
      <c r="AA55" s="396">
        <v>0.15</v>
      </c>
      <c r="AB55" s="174">
        <f t="shared" si="11"/>
        <v>4800</v>
      </c>
    </row>
    <row r="56" spans="1:31" ht="15.4" x14ac:dyDescent="0.45">
      <c r="A56" s="170"/>
      <c r="B56" s="171">
        <v>6435</v>
      </c>
      <c r="C56" s="172" t="s">
        <v>286</v>
      </c>
      <c r="D56" s="172"/>
      <c r="E56" s="183">
        <v>300000</v>
      </c>
      <c r="F56" s="183"/>
      <c r="G56" s="182">
        <v>57479</v>
      </c>
      <c r="H56" s="463">
        <f t="shared" si="10"/>
        <v>98535.428571428565</v>
      </c>
      <c r="I56" s="469"/>
      <c r="J56" s="219">
        <v>300000</v>
      </c>
      <c r="K56" s="179"/>
      <c r="L56" s="183">
        <v>0</v>
      </c>
      <c r="M56" s="394">
        <v>0.17</v>
      </c>
      <c r="N56" s="196">
        <v>0</v>
      </c>
      <c r="O56" s="407"/>
      <c r="P56" s="196">
        <v>0</v>
      </c>
      <c r="Q56" s="407"/>
      <c r="R56" s="196">
        <v>0</v>
      </c>
      <c r="S56" s="407"/>
      <c r="T56" s="492">
        <v>0</v>
      </c>
      <c r="U56" s="396"/>
      <c r="V56" s="182">
        <v>0</v>
      </c>
      <c r="W56" s="396"/>
      <c r="X56" s="180">
        <v>300000</v>
      </c>
      <c r="Y56" s="446">
        <v>325718</v>
      </c>
      <c r="Z56" s="446">
        <v>50137</v>
      </c>
      <c r="AA56" s="396">
        <v>0.83</v>
      </c>
      <c r="AB56" s="174">
        <f t="shared" si="11"/>
        <v>300000</v>
      </c>
    </row>
    <row r="57" spans="1:31" ht="15.4" x14ac:dyDescent="0.45">
      <c r="A57" s="170"/>
      <c r="B57" s="171">
        <v>6440</v>
      </c>
      <c r="C57" s="172" t="s">
        <v>315</v>
      </c>
      <c r="D57" s="172"/>
      <c r="E57" s="183">
        <v>74000</v>
      </c>
      <c r="F57" s="183"/>
      <c r="G57" s="182">
        <f>18127+550</f>
        <v>18677</v>
      </c>
      <c r="H57" s="463">
        <f>((G57/7)*12)</f>
        <v>32017.71428571429</v>
      </c>
      <c r="I57" s="469"/>
      <c r="J57" s="219">
        <f>25000+3000</f>
        <v>28000</v>
      </c>
      <c r="K57" s="179"/>
      <c r="L57" s="183">
        <v>0</v>
      </c>
      <c r="M57" s="394"/>
      <c r="N57" s="196"/>
      <c r="O57" s="407"/>
      <c r="P57" s="196"/>
      <c r="Q57" s="407"/>
      <c r="R57" s="196"/>
      <c r="S57" s="407"/>
      <c r="T57" s="492"/>
      <c r="U57" s="396"/>
      <c r="V57" s="182"/>
      <c r="W57" s="396"/>
      <c r="X57" s="180">
        <v>28000</v>
      </c>
      <c r="Y57" s="446"/>
      <c r="Z57" s="446"/>
      <c r="AA57" s="396"/>
      <c r="AB57" s="174">
        <f t="shared" si="11"/>
        <v>28000</v>
      </c>
    </row>
    <row r="58" spans="1:31" ht="15.4" x14ac:dyDescent="0.45">
      <c r="A58" s="170"/>
      <c r="B58" s="171"/>
      <c r="C58" s="165" t="s">
        <v>146</v>
      </c>
      <c r="D58" s="165"/>
      <c r="E58" s="432">
        <f>SUM(E51:E57)</f>
        <v>396900</v>
      </c>
      <c r="F58" s="432"/>
      <c r="G58" s="465">
        <f>SUM(G51:G57)</f>
        <v>87006</v>
      </c>
      <c r="H58" s="466">
        <f>SUM(H51:H57)</f>
        <v>147375.57142857142</v>
      </c>
      <c r="I58" s="475"/>
      <c r="J58" s="433">
        <f>SUM(J51:J57)</f>
        <v>349175</v>
      </c>
      <c r="K58" s="432"/>
      <c r="L58" s="206">
        <f>SUM(L50:L56)</f>
        <v>5175</v>
      </c>
      <c r="M58" s="383"/>
      <c r="N58" s="206">
        <f>SUM(N50:N56)</f>
        <v>0</v>
      </c>
      <c r="O58" s="383"/>
      <c r="P58" s="206">
        <f>SUM(P50:P56)</f>
        <v>0</v>
      </c>
      <c r="Q58" s="383"/>
      <c r="R58" s="206">
        <f>SUM(R50:R56)</f>
        <v>0</v>
      </c>
      <c r="S58" s="383"/>
      <c r="T58" s="494">
        <f>SUM(T50:T56)</f>
        <v>2075</v>
      </c>
      <c r="U58" s="383"/>
      <c r="V58" s="206">
        <f>SUM(V50:V56)</f>
        <v>0</v>
      </c>
      <c r="W58" s="383"/>
      <c r="X58" s="206">
        <f>SUM(X51:X57)</f>
        <v>341925</v>
      </c>
      <c r="Y58" s="443">
        <f>SUM(Y50:Y56)</f>
        <v>338970</v>
      </c>
      <c r="Z58" s="443">
        <f>SUM(Z50:Z56)</f>
        <v>55244</v>
      </c>
      <c r="AA58" s="383"/>
      <c r="AB58" s="432">
        <f>SUM(AB51:AB57)</f>
        <v>349175</v>
      </c>
      <c r="AE58" s="52">
        <f>+L58+N58+P58+R58+T58+V58+X58</f>
        <v>349175</v>
      </c>
    </row>
    <row r="59" spans="1:31" ht="15.4" x14ac:dyDescent="0.45">
      <c r="A59" s="170"/>
      <c r="B59" s="171"/>
      <c r="C59" s="172"/>
      <c r="D59" s="172"/>
      <c r="E59" s="195"/>
      <c r="F59" s="195"/>
      <c r="G59" s="196"/>
      <c r="H59" s="458"/>
      <c r="I59" s="472"/>
      <c r="J59" s="197"/>
      <c r="K59" s="195"/>
      <c r="L59" s="212"/>
      <c r="M59" s="385"/>
      <c r="N59" s="52"/>
      <c r="O59" s="392"/>
      <c r="P59" s="52"/>
      <c r="Q59" s="392"/>
      <c r="R59" s="52"/>
      <c r="S59" s="392"/>
      <c r="T59" s="495"/>
      <c r="U59" s="392"/>
      <c r="V59" s="52"/>
      <c r="W59" s="392"/>
      <c r="X59" s="52"/>
      <c r="Y59" s="444"/>
      <c r="Z59" s="444"/>
      <c r="AA59" s="392"/>
      <c r="AB59" s="198" t="s">
        <v>0</v>
      </c>
    </row>
    <row r="60" spans="1:31" ht="15.4" x14ac:dyDescent="0.45">
      <c r="A60" s="170"/>
      <c r="B60" s="171"/>
      <c r="C60" s="172"/>
      <c r="D60" s="172"/>
      <c r="E60" s="195"/>
      <c r="F60" s="195"/>
      <c r="G60" s="196"/>
      <c r="H60" s="458"/>
      <c r="I60" s="472"/>
      <c r="J60" s="197"/>
      <c r="K60" s="195"/>
      <c r="L60" s="212"/>
      <c r="M60" s="385"/>
      <c r="N60" s="52"/>
      <c r="O60" s="392"/>
      <c r="P60" s="52"/>
      <c r="Q60" s="392"/>
      <c r="R60" s="52"/>
      <c r="S60" s="392"/>
      <c r="T60" s="495"/>
      <c r="U60" s="392"/>
      <c r="V60" s="52"/>
      <c r="W60" s="392"/>
      <c r="X60" s="52"/>
      <c r="Y60" s="444"/>
      <c r="Z60" s="444"/>
      <c r="AA60" s="392"/>
      <c r="AB60" s="198" t="s">
        <v>0</v>
      </c>
    </row>
    <row r="61" spans="1:31" ht="15.4" x14ac:dyDescent="0.45">
      <c r="A61" s="170"/>
      <c r="B61" s="171">
        <v>6455</v>
      </c>
      <c r="C61" s="172" t="s">
        <v>147</v>
      </c>
      <c r="D61" s="172"/>
      <c r="E61" s="173">
        <v>0</v>
      </c>
      <c r="F61" s="173"/>
      <c r="G61" s="174">
        <v>0</v>
      </c>
      <c r="H61" s="455">
        <f t="shared" ref="H61:H65" si="12">(G61/7)*12</f>
        <v>0</v>
      </c>
      <c r="I61" s="468"/>
      <c r="J61" s="175">
        <v>0</v>
      </c>
      <c r="K61" s="176"/>
      <c r="L61" s="173">
        <v>0</v>
      </c>
      <c r="M61" s="394"/>
      <c r="N61" s="174">
        <v>0</v>
      </c>
      <c r="O61" s="407"/>
      <c r="P61" s="198">
        <v>0</v>
      </c>
      <c r="Q61" s="407"/>
      <c r="R61" s="198">
        <v>0</v>
      </c>
      <c r="S61" s="407"/>
      <c r="T61" s="496">
        <v>0</v>
      </c>
      <c r="U61" s="407"/>
      <c r="V61" s="198">
        <v>0</v>
      </c>
      <c r="W61" s="407"/>
      <c r="X61" s="198">
        <v>0</v>
      </c>
      <c r="Y61" s="447"/>
      <c r="Z61" s="447"/>
      <c r="AA61" s="407"/>
      <c r="AB61" s="174">
        <f>+L61+N61+P61+R61+T61+V61+X61</f>
        <v>0</v>
      </c>
    </row>
    <row r="62" spans="1:31" ht="15.4" x14ac:dyDescent="0.45">
      <c r="A62" s="170"/>
      <c r="B62" s="171">
        <v>6460</v>
      </c>
      <c r="C62" s="172" t="s">
        <v>148</v>
      </c>
      <c r="D62" s="172"/>
      <c r="E62" s="183">
        <v>0</v>
      </c>
      <c r="F62" s="183"/>
      <c r="G62" s="182">
        <v>200</v>
      </c>
      <c r="H62" s="463">
        <f t="shared" si="12"/>
        <v>342.85714285714289</v>
      </c>
      <c r="I62" s="469"/>
      <c r="J62" s="219">
        <v>200</v>
      </c>
      <c r="K62" s="179"/>
      <c r="L62" s="183">
        <v>200</v>
      </c>
      <c r="M62" s="394"/>
      <c r="N62" s="404">
        <v>0</v>
      </c>
      <c r="O62" s="396"/>
      <c r="P62" s="182">
        <v>0</v>
      </c>
      <c r="Q62" s="396"/>
      <c r="R62" s="182">
        <v>0</v>
      </c>
      <c r="S62" s="396"/>
      <c r="T62" s="492">
        <v>0</v>
      </c>
      <c r="U62" s="396"/>
      <c r="V62" s="182">
        <v>0</v>
      </c>
      <c r="W62" s="396"/>
      <c r="X62" s="182">
        <v>0</v>
      </c>
      <c r="Y62" s="441"/>
      <c r="Z62" s="441"/>
      <c r="AA62" s="396"/>
      <c r="AB62" s="174">
        <f t="shared" ref="AB62:AB65" si="13">+L62+N62+P62+R62+T62+V62+X62</f>
        <v>200</v>
      </c>
    </row>
    <row r="63" spans="1:31" ht="15.4" x14ac:dyDescent="0.45">
      <c r="A63" s="170"/>
      <c r="B63" s="171">
        <v>6470</v>
      </c>
      <c r="C63" s="172" t="s">
        <v>313</v>
      </c>
      <c r="D63" s="172"/>
      <c r="E63" s="183">
        <v>3200</v>
      </c>
      <c r="F63" s="183"/>
      <c r="G63" s="182">
        <v>3406</v>
      </c>
      <c r="H63" s="463">
        <f t="shared" si="12"/>
        <v>5838.8571428571431</v>
      </c>
      <c r="I63" s="469"/>
      <c r="J63" s="219">
        <f>414*12</f>
        <v>4968</v>
      </c>
      <c r="K63" s="179"/>
      <c r="L63" s="183">
        <f>M63*J63</f>
        <v>4968</v>
      </c>
      <c r="M63" s="394">
        <v>1</v>
      </c>
      <c r="N63" s="404">
        <v>0</v>
      </c>
      <c r="O63" s="396"/>
      <c r="P63" s="182">
        <v>0</v>
      </c>
      <c r="Q63" s="396"/>
      <c r="R63" s="182">
        <v>0</v>
      </c>
      <c r="S63" s="396"/>
      <c r="T63" s="492">
        <v>0</v>
      </c>
      <c r="U63" s="396"/>
      <c r="V63" s="182">
        <v>0</v>
      </c>
      <c r="W63" s="396"/>
      <c r="X63" s="182">
        <v>0</v>
      </c>
      <c r="Y63" s="441"/>
      <c r="Z63" s="441"/>
      <c r="AA63" s="396"/>
      <c r="AB63" s="174">
        <f t="shared" si="13"/>
        <v>4968</v>
      </c>
    </row>
    <row r="64" spans="1:31" ht="15.4" x14ac:dyDescent="0.45">
      <c r="A64" s="170"/>
      <c r="B64" s="171">
        <v>6500</v>
      </c>
      <c r="C64" s="172" t="s">
        <v>150</v>
      </c>
      <c r="D64" s="172"/>
      <c r="E64" s="183">
        <v>18000</v>
      </c>
      <c r="F64" s="183"/>
      <c r="G64" s="182">
        <v>10500</v>
      </c>
      <c r="H64" s="463">
        <f t="shared" si="12"/>
        <v>18000</v>
      </c>
      <c r="I64" s="469"/>
      <c r="J64" s="219">
        <f>1539*12</f>
        <v>18468</v>
      </c>
      <c r="K64" s="179"/>
      <c r="L64" s="183">
        <f>M64*J64</f>
        <v>18468</v>
      </c>
      <c r="M64" s="394">
        <v>1</v>
      </c>
      <c r="N64" s="404">
        <v>0</v>
      </c>
      <c r="O64" s="396"/>
      <c r="P64" s="182">
        <v>0</v>
      </c>
      <c r="Q64" s="396"/>
      <c r="R64" s="182">
        <v>0</v>
      </c>
      <c r="S64" s="396"/>
      <c r="T64" s="492">
        <v>0</v>
      </c>
      <c r="U64" s="396"/>
      <c r="V64" s="182">
        <v>0</v>
      </c>
      <c r="W64" s="396"/>
      <c r="X64" s="182">
        <v>0</v>
      </c>
      <c r="Y64" s="441"/>
      <c r="Z64" s="441"/>
      <c r="AA64" s="396"/>
      <c r="AB64" s="174">
        <f t="shared" si="13"/>
        <v>18468</v>
      </c>
    </row>
    <row r="65" spans="1:31" ht="15.4" x14ac:dyDescent="0.45">
      <c r="A65" s="170"/>
      <c r="B65" s="171">
        <v>6510</v>
      </c>
      <c r="C65" s="172" t="s">
        <v>151</v>
      </c>
      <c r="D65" s="172"/>
      <c r="E65" s="183">
        <v>7764</v>
      </c>
      <c r="F65" s="183"/>
      <c r="G65" s="182">
        <v>2049</v>
      </c>
      <c r="H65" s="463">
        <f t="shared" si="12"/>
        <v>3512.5714285714284</v>
      </c>
      <c r="I65" s="469"/>
      <c r="J65" s="219">
        <f>1920+'2021 Salaries'!E39+'2021 Salaries'!E60+1320</f>
        <v>11160</v>
      </c>
      <c r="K65" s="179"/>
      <c r="L65" s="183">
        <v>1320</v>
      </c>
      <c r="M65" s="394">
        <v>0</v>
      </c>
      <c r="N65" s="404">
        <v>0</v>
      </c>
      <c r="O65" s="396"/>
      <c r="P65" s="182">
        <v>0</v>
      </c>
      <c r="Q65" s="396"/>
      <c r="R65" s="182">
        <v>0</v>
      </c>
      <c r="S65" s="396"/>
      <c r="T65" s="492">
        <v>1320</v>
      </c>
      <c r="U65" s="396">
        <v>0.13139999999999999</v>
      </c>
      <c r="V65" s="182">
        <v>0</v>
      </c>
      <c r="W65" s="396"/>
      <c r="X65" s="182">
        <v>8520</v>
      </c>
      <c r="Y65" s="441">
        <v>6164</v>
      </c>
      <c r="Z65" s="441">
        <v>2211</v>
      </c>
      <c r="AA65" s="396">
        <v>0.86860000000000004</v>
      </c>
      <c r="AB65" s="174">
        <f t="shared" si="13"/>
        <v>11160</v>
      </c>
    </row>
    <row r="66" spans="1:31" ht="15.4" x14ac:dyDescent="0.45">
      <c r="A66" s="170"/>
      <c r="B66" s="171"/>
      <c r="C66" s="165" t="s">
        <v>153</v>
      </c>
      <c r="D66" s="165"/>
      <c r="E66" s="432">
        <f>SUM(E61:E65)</f>
        <v>28964</v>
      </c>
      <c r="F66" s="432"/>
      <c r="G66" s="465">
        <f>SUM(G61:G65)</f>
        <v>16155</v>
      </c>
      <c r="H66" s="466">
        <f>SUM(H61:H65)</f>
        <v>27694.285714285714</v>
      </c>
      <c r="I66" s="475"/>
      <c r="J66" s="433">
        <f>SUM(J61:J65)</f>
        <v>34796</v>
      </c>
      <c r="K66" s="432"/>
      <c r="L66" s="206">
        <f>SUM(L61:L65)</f>
        <v>24956</v>
      </c>
      <c r="M66" s="383"/>
      <c r="N66" s="206">
        <f>SUM(N61:N65)</f>
        <v>0</v>
      </c>
      <c r="O66" s="383"/>
      <c r="P66" s="206">
        <f>SUM(P61:P65)</f>
        <v>0</v>
      </c>
      <c r="Q66" s="383"/>
      <c r="R66" s="206">
        <f>SUM(R61:R65)</f>
        <v>0</v>
      </c>
      <c r="S66" s="383"/>
      <c r="T66" s="494">
        <f>SUM(T61:T65)</f>
        <v>1320</v>
      </c>
      <c r="U66" s="383"/>
      <c r="V66" s="206">
        <f>SUM(V61:V65)</f>
        <v>0</v>
      </c>
      <c r="W66" s="383"/>
      <c r="X66" s="206">
        <f>SUM(X61:X65)</f>
        <v>8520</v>
      </c>
      <c r="Y66" s="443">
        <f>SUM(Y61:Y65)</f>
        <v>6164</v>
      </c>
      <c r="Z66" s="443">
        <f>SUM(Z61:Z65)</f>
        <v>2211</v>
      </c>
      <c r="AA66" s="383"/>
      <c r="AB66" s="432">
        <f>SUM(AB61:AB65)</f>
        <v>34796</v>
      </c>
      <c r="AE66" s="52">
        <f>+L66+N66+P66+R66+T66+V66+X66</f>
        <v>34796</v>
      </c>
    </row>
    <row r="67" spans="1:31" ht="15.4" x14ac:dyDescent="0.45">
      <c r="A67" s="170"/>
      <c r="B67" s="171"/>
      <c r="C67" s="208"/>
      <c r="D67" s="208"/>
      <c r="E67" s="195"/>
      <c r="F67" s="195"/>
      <c r="G67" s="196"/>
      <c r="H67" s="458"/>
      <c r="I67" s="472"/>
      <c r="J67" s="197"/>
      <c r="K67" s="195"/>
      <c r="L67" s="212"/>
      <c r="M67" s="385"/>
      <c r="N67" s="52"/>
      <c r="O67" s="392"/>
      <c r="P67" s="52"/>
      <c r="Q67" s="392"/>
      <c r="R67" s="52"/>
      <c r="S67" s="392"/>
      <c r="T67" s="495"/>
      <c r="U67" s="392"/>
      <c r="V67" s="52"/>
      <c r="W67" s="392"/>
      <c r="X67" s="52"/>
      <c r="Y67" s="444"/>
      <c r="Z67" s="444"/>
      <c r="AA67" s="392"/>
      <c r="AB67" s="198" t="s">
        <v>0</v>
      </c>
    </row>
    <row r="68" spans="1:31" ht="15.4" x14ac:dyDescent="0.45">
      <c r="A68" s="170"/>
      <c r="B68" s="171"/>
      <c r="C68" s="208"/>
      <c r="D68" s="208"/>
      <c r="E68" s="195"/>
      <c r="F68" s="195"/>
      <c r="G68" s="196"/>
      <c r="H68" s="458"/>
      <c r="I68" s="472"/>
      <c r="J68" s="197"/>
      <c r="K68" s="195"/>
      <c r="L68" s="212"/>
      <c r="M68" s="385"/>
      <c r="N68" s="52"/>
      <c r="O68" s="392"/>
      <c r="P68" s="52"/>
      <c r="Q68" s="392"/>
      <c r="R68" s="52"/>
      <c r="S68" s="392"/>
      <c r="T68" s="495"/>
      <c r="U68" s="392"/>
      <c r="V68" s="52"/>
      <c r="W68" s="392"/>
      <c r="X68" s="52"/>
      <c r="Y68" s="444"/>
      <c r="Z68" s="444"/>
      <c r="AA68" s="392"/>
      <c r="AB68" s="198" t="s">
        <v>0</v>
      </c>
    </row>
    <row r="69" spans="1:31" ht="15.4" x14ac:dyDescent="0.45">
      <c r="A69" s="170"/>
      <c r="B69" s="171">
        <v>6600</v>
      </c>
      <c r="C69" s="172" t="s">
        <v>154</v>
      </c>
      <c r="D69" s="172"/>
      <c r="E69" s="173">
        <f>4000+1700</f>
        <v>5700</v>
      </c>
      <c r="F69" s="173"/>
      <c r="G69" s="174">
        <f>51+50</f>
        <v>101</v>
      </c>
      <c r="H69" s="463">
        <f t="shared" ref="H69:H75" si="14">(G69/7)*12</f>
        <v>173.14285714285714</v>
      </c>
      <c r="I69" s="470"/>
      <c r="J69" s="175">
        <v>2000</v>
      </c>
      <c r="K69" s="173"/>
      <c r="L69" s="173">
        <v>0</v>
      </c>
      <c r="M69" s="394"/>
      <c r="N69" s="198">
        <v>0</v>
      </c>
      <c r="O69" s="407"/>
      <c r="P69" s="198">
        <v>0</v>
      </c>
      <c r="Q69" s="407"/>
      <c r="R69" s="198">
        <v>0</v>
      </c>
      <c r="S69" s="407"/>
      <c r="T69" s="491">
        <v>0</v>
      </c>
      <c r="U69" s="396"/>
      <c r="V69" s="174">
        <v>0</v>
      </c>
      <c r="W69" s="396"/>
      <c r="X69" s="174">
        <v>2000</v>
      </c>
      <c r="Y69" s="440">
        <v>422</v>
      </c>
      <c r="Z69" s="440"/>
      <c r="AA69" s="396"/>
      <c r="AB69" s="174">
        <f>+L69+N69+P69+R69+T69+V69+X69</f>
        <v>2000</v>
      </c>
    </row>
    <row r="70" spans="1:31" ht="15.4" x14ac:dyDescent="0.45">
      <c r="A70" s="170"/>
      <c r="B70" s="171">
        <v>6605</v>
      </c>
      <c r="C70" s="199" t="s">
        <v>155</v>
      </c>
      <c r="D70" s="199"/>
      <c r="E70" s="183">
        <v>0</v>
      </c>
      <c r="F70" s="183"/>
      <c r="G70" s="182">
        <v>66</v>
      </c>
      <c r="H70" s="463">
        <f t="shared" si="14"/>
        <v>113.14285714285714</v>
      </c>
      <c r="I70" s="469"/>
      <c r="J70" s="219">
        <v>1200</v>
      </c>
      <c r="K70" s="183"/>
      <c r="L70" s="183">
        <v>0</v>
      </c>
      <c r="M70" s="394"/>
      <c r="N70" s="196">
        <v>0</v>
      </c>
      <c r="O70" s="407"/>
      <c r="P70" s="198">
        <v>0</v>
      </c>
      <c r="Q70" s="407"/>
      <c r="R70" s="196">
        <v>0</v>
      </c>
      <c r="S70" s="407"/>
      <c r="T70" s="492">
        <v>0</v>
      </c>
      <c r="U70" s="396">
        <v>0.22220000000000001</v>
      </c>
      <c r="V70" s="182">
        <v>0</v>
      </c>
      <c r="W70" s="396"/>
      <c r="X70" s="182">
        <v>1200</v>
      </c>
      <c r="Y70" s="441">
        <v>120</v>
      </c>
      <c r="Z70" s="441">
        <f>50+195</f>
        <v>245</v>
      </c>
      <c r="AA70" s="396">
        <v>0.77780000000000005</v>
      </c>
      <c r="AB70" s="174">
        <f t="shared" ref="AB70:AB75" si="15">+L70+N70+P70+R70+T70+V70+X70</f>
        <v>1200</v>
      </c>
    </row>
    <row r="71" spans="1:31" ht="15.4" x14ac:dyDescent="0.45">
      <c r="A71" s="170"/>
      <c r="B71" s="171">
        <v>6610</v>
      </c>
      <c r="C71" s="172" t="s">
        <v>156</v>
      </c>
      <c r="D71" s="172"/>
      <c r="E71" s="183">
        <v>9000</v>
      </c>
      <c r="F71" s="183"/>
      <c r="G71" s="182">
        <v>1052</v>
      </c>
      <c r="H71" s="463">
        <f t="shared" si="14"/>
        <v>1803.4285714285713</v>
      </c>
      <c r="I71" s="469"/>
      <c r="J71" s="219">
        <v>4500</v>
      </c>
      <c r="K71" s="183"/>
      <c r="L71" s="183">
        <v>0</v>
      </c>
      <c r="M71" s="394"/>
      <c r="N71" s="196">
        <v>0</v>
      </c>
      <c r="O71" s="407"/>
      <c r="P71" s="198">
        <v>0</v>
      </c>
      <c r="Q71" s="407"/>
      <c r="R71" s="196">
        <v>0</v>
      </c>
      <c r="S71" s="407"/>
      <c r="T71" s="492">
        <f>U71*J71</f>
        <v>999.90000000000009</v>
      </c>
      <c r="U71" s="396">
        <v>0.22220000000000001</v>
      </c>
      <c r="V71" s="182">
        <v>0</v>
      </c>
      <c r="W71" s="396"/>
      <c r="X71" s="182">
        <f>AA71*J71</f>
        <v>3500.1000000000004</v>
      </c>
      <c r="Y71" s="441">
        <v>5314</v>
      </c>
      <c r="Z71" s="441">
        <v>1130</v>
      </c>
      <c r="AA71" s="396">
        <v>0.77780000000000005</v>
      </c>
      <c r="AB71" s="174">
        <f t="shared" si="15"/>
        <v>4500</v>
      </c>
    </row>
    <row r="72" spans="1:31" ht="15.4" x14ac:dyDescent="0.45">
      <c r="A72" s="170"/>
      <c r="B72" s="171">
        <v>6615</v>
      </c>
      <c r="C72" s="172" t="s">
        <v>157</v>
      </c>
      <c r="D72" s="172"/>
      <c r="E72" s="183">
        <v>200</v>
      </c>
      <c r="F72" s="183"/>
      <c r="G72" s="182"/>
      <c r="H72" s="463">
        <f t="shared" si="14"/>
        <v>0</v>
      </c>
      <c r="I72" s="469"/>
      <c r="J72" s="219">
        <v>200</v>
      </c>
      <c r="K72" s="183"/>
      <c r="L72" s="183">
        <f>M72*J72</f>
        <v>200</v>
      </c>
      <c r="M72" s="394">
        <v>1</v>
      </c>
      <c r="N72" s="196">
        <v>0</v>
      </c>
      <c r="O72" s="407"/>
      <c r="P72" s="198">
        <v>0</v>
      </c>
      <c r="Q72" s="407"/>
      <c r="R72" s="196">
        <v>0</v>
      </c>
      <c r="S72" s="407"/>
      <c r="T72" s="492">
        <v>0</v>
      </c>
      <c r="U72" s="396"/>
      <c r="V72" s="182">
        <v>0</v>
      </c>
      <c r="W72" s="396"/>
      <c r="X72" s="182">
        <f>AA72*J72</f>
        <v>0</v>
      </c>
      <c r="Y72" s="441"/>
      <c r="Z72" s="441"/>
      <c r="AA72" s="396"/>
      <c r="AB72" s="174">
        <f t="shared" si="15"/>
        <v>200</v>
      </c>
    </row>
    <row r="73" spans="1:31" ht="15.4" x14ac:dyDescent="0.45">
      <c r="A73" s="170"/>
      <c r="B73" s="171">
        <v>6620</v>
      </c>
      <c r="C73" s="199" t="s">
        <v>158</v>
      </c>
      <c r="D73" s="199"/>
      <c r="E73" s="183">
        <v>350</v>
      </c>
      <c r="F73" s="183"/>
      <c r="G73" s="182">
        <v>0</v>
      </c>
      <c r="H73" s="463">
        <f t="shared" si="14"/>
        <v>0</v>
      </c>
      <c r="I73" s="469"/>
      <c r="J73" s="219">
        <v>600</v>
      </c>
      <c r="K73" s="183"/>
      <c r="L73" s="183">
        <v>0</v>
      </c>
      <c r="M73" s="394"/>
      <c r="N73" s="196">
        <v>0</v>
      </c>
      <c r="O73" s="407"/>
      <c r="P73" s="198">
        <v>0</v>
      </c>
      <c r="Q73" s="407"/>
      <c r="R73" s="196">
        <v>0</v>
      </c>
      <c r="S73" s="407"/>
      <c r="T73" s="492">
        <v>0</v>
      </c>
      <c r="U73" s="396">
        <v>0.42859999999999998</v>
      </c>
      <c r="V73" s="182">
        <v>0</v>
      </c>
      <c r="W73" s="396"/>
      <c r="X73" s="182">
        <v>600</v>
      </c>
      <c r="Y73" s="441"/>
      <c r="Z73" s="441"/>
      <c r="AA73" s="396">
        <v>0.57140000000000002</v>
      </c>
      <c r="AB73" s="174">
        <f t="shared" si="15"/>
        <v>600</v>
      </c>
    </row>
    <row r="74" spans="1:31" ht="15.4" x14ac:dyDescent="0.45">
      <c r="A74" s="170"/>
      <c r="B74" s="171">
        <v>6625</v>
      </c>
      <c r="C74" s="172" t="s">
        <v>159</v>
      </c>
      <c r="D74" s="172"/>
      <c r="E74" s="183">
        <v>4000</v>
      </c>
      <c r="F74" s="183"/>
      <c r="G74" s="182">
        <v>118</v>
      </c>
      <c r="H74" s="463">
        <f t="shared" si="14"/>
        <v>202.28571428571428</v>
      </c>
      <c r="I74" s="469"/>
      <c r="J74" s="219">
        <v>2000</v>
      </c>
      <c r="K74" s="183"/>
      <c r="L74" s="183">
        <v>0</v>
      </c>
      <c r="M74" s="394"/>
      <c r="N74" s="196">
        <v>0</v>
      </c>
      <c r="O74" s="407"/>
      <c r="P74" s="198">
        <v>0</v>
      </c>
      <c r="Q74" s="407"/>
      <c r="R74" s="196">
        <v>0</v>
      </c>
      <c r="S74" s="407"/>
      <c r="T74" s="492">
        <f>U74*J74</f>
        <v>1000</v>
      </c>
      <c r="U74" s="396">
        <v>0.5</v>
      </c>
      <c r="V74" s="182">
        <v>0</v>
      </c>
      <c r="W74" s="396"/>
      <c r="X74" s="182">
        <f>(AA74*J74)</f>
        <v>1000</v>
      </c>
      <c r="Y74" s="441"/>
      <c r="Z74" s="441"/>
      <c r="AA74" s="396">
        <v>0.5</v>
      </c>
      <c r="AB74" s="174">
        <f t="shared" si="15"/>
        <v>2000</v>
      </c>
    </row>
    <row r="75" spans="1:31" ht="15.4" x14ac:dyDescent="0.45">
      <c r="A75" s="170"/>
      <c r="B75" s="171">
        <v>6630</v>
      </c>
      <c r="C75" s="172" t="s">
        <v>160</v>
      </c>
      <c r="D75" s="172"/>
      <c r="E75" s="183">
        <v>250</v>
      </c>
      <c r="F75" s="183"/>
      <c r="G75" s="182">
        <v>0</v>
      </c>
      <c r="H75" s="463">
        <f t="shared" si="14"/>
        <v>0</v>
      </c>
      <c r="I75" s="469"/>
      <c r="J75" s="219">
        <v>250</v>
      </c>
      <c r="K75" s="183"/>
      <c r="L75" s="183">
        <f>M75*J75</f>
        <v>250</v>
      </c>
      <c r="M75" s="394">
        <v>1</v>
      </c>
      <c r="N75" s="196">
        <v>0</v>
      </c>
      <c r="O75" s="407"/>
      <c r="P75" s="198">
        <v>0</v>
      </c>
      <c r="Q75" s="407"/>
      <c r="R75" s="196">
        <v>0</v>
      </c>
      <c r="S75" s="407"/>
      <c r="T75" s="492">
        <v>0</v>
      </c>
      <c r="U75" s="396"/>
      <c r="V75" s="182">
        <v>0</v>
      </c>
      <c r="W75" s="396"/>
      <c r="X75" s="182">
        <f>AA75*J75</f>
        <v>0</v>
      </c>
      <c r="Y75" s="441"/>
      <c r="Z75" s="441"/>
      <c r="AA75" s="396"/>
      <c r="AB75" s="174">
        <f t="shared" si="15"/>
        <v>250</v>
      </c>
    </row>
    <row r="76" spans="1:31" ht="15.4" x14ac:dyDescent="0.45">
      <c r="A76" s="170"/>
      <c r="B76" s="171"/>
      <c r="C76" s="165" t="s">
        <v>163</v>
      </c>
      <c r="D76" s="165"/>
      <c r="E76" s="224">
        <f>SUM(E69:E75)</f>
        <v>19500</v>
      </c>
      <c r="F76" s="224"/>
      <c r="G76" s="227">
        <f>SUM(G69:G75)</f>
        <v>1337</v>
      </c>
      <c r="H76" s="464">
        <f>SUM(H69:H75)</f>
        <v>2292</v>
      </c>
      <c r="I76" s="473"/>
      <c r="J76" s="225">
        <f>SUM(J69:J75)</f>
        <v>10750</v>
      </c>
      <c r="K76" s="224"/>
      <c r="L76" s="206">
        <f>SUM(L69:L75)</f>
        <v>450</v>
      </c>
      <c r="M76" s="383"/>
      <c r="N76" s="206">
        <f>SUM(N69:N75)</f>
        <v>0</v>
      </c>
      <c r="O76" s="383"/>
      <c r="P76" s="206">
        <f>SUM(P69:P75)</f>
        <v>0</v>
      </c>
      <c r="Q76" s="383"/>
      <c r="R76" s="206">
        <f>SUM(R69:R75)</f>
        <v>0</v>
      </c>
      <c r="S76" s="383"/>
      <c r="T76" s="494">
        <f>SUM(T69:T75)</f>
        <v>1999.9</v>
      </c>
      <c r="U76" s="383"/>
      <c r="V76" s="206">
        <f>SUM(V69:V75)</f>
        <v>0</v>
      </c>
      <c r="W76" s="383"/>
      <c r="X76" s="206">
        <f>SUM(X69:X75)</f>
        <v>8300.1</v>
      </c>
      <c r="Y76" s="443">
        <f>SUM(Y69:Y75)</f>
        <v>5856</v>
      </c>
      <c r="Z76" s="443">
        <f>SUM(Z69:Z75)</f>
        <v>1375</v>
      </c>
      <c r="AA76" s="383"/>
      <c r="AB76" s="432">
        <f>SUM(AB69:AB75)</f>
        <v>10750</v>
      </c>
      <c r="AE76" s="52">
        <f>+L76+N76+P76+R76+T76+V76+X76</f>
        <v>10750</v>
      </c>
    </row>
    <row r="77" spans="1:31" ht="15.4" x14ac:dyDescent="0.45">
      <c r="A77" s="170"/>
      <c r="B77" s="171"/>
      <c r="C77" s="172"/>
      <c r="D77" s="172"/>
      <c r="E77" s="195"/>
      <c r="F77" s="195"/>
      <c r="G77" s="196"/>
      <c r="H77" s="458"/>
      <c r="I77" s="472"/>
      <c r="J77" s="197"/>
      <c r="K77" s="195"/>
      <c r="L77" s="212"/>
      <c r="M77" s="385"/>
      <c r="N77" s="52"/>
      <c r="O77" s="392"/>
      <c r="P77" s="52"/>
      <c r="Q77" s="392"/>
      <c r="R77" s="52"/>
      <c r="S77" s="392"/>
      <c r="T77" s="495"/>
      <c r="U77" s="392"/>
      <c r="V77" s="52"/>
      <c r="W77" s="392"/>
      <c r="X77" s="52"/>
      <c r="Y77" s="444"/>
      <c r="Z77" s="444"/>
      <c r="AA77" s="392"/>
      <c r="AB77" s="198" t="s">
        <v>0</v>
      </c>
    </row>
    <row r="78" spans="1:31" ht="15.4" x14ac:dyDescent="0.45">
      <c r="A78" s="170"/>
      <c r="B78" s="171"/>
      <c r="C78" s="172"/>
      <c r="D78" s="172"/>
      <c r="E78" s="195"/>
      <c r="F78" s="195"/>
      <c r="G78" s="196"/>
      <c r="H78" s="458"/>
      <c r="I78" s="472"/>
      <c r="J78" s="197"/>
      <c r="K78" s="195"/>
      <c r="L78" s="212"/>
      <c r="M78" s="385"/>
      <c r="N78" s="52"/>
      <c r="O78" s="392"/>
      <c r="P78" s="52"/>
      <c r="Q78" s="392"/>
      <c r="R78" s="52"/>
      <c r="S78" s="392"/>
      <c r="T78" s="495"/>
      <c r="U78" s="392"/>
      <c r="V78" s="52"/>
      <c r="W78" s="392"/>
      <c r="X78" s="52"/>
      <c r="Y78" s="444"/>
      <c r="Z78" s="444"/>
      <c r="AA78" s="392"/>
      <c r="AB78" s="198" t="s">
        <v>0</v>
      </c>
    </row>
    <row r="79" spans="1:31" ht="15.4" x14ac:dyDescent="0.45">
      <c r="A79" s="170"/>
      <c r="B79" s="171">
        <v>6800</v>
      </c>
      <c r="C79" s="172" t="s">
        <v>164</v>
      </c>
      <c r="D79" s="172"/>
      <c r="E79" s="176">
        <v>2850</v>
      </c>
      <c r="F79" s="176"/>
      <c r="G79" s="177">
        <v>422</v>
      </c>
      <c r="H79" s="459">
        <f t="shared" ref="H79:H80" si="16">(G79/7)*12</f>
        <v>723.42857142857144</v>
      </c>
      <c r="I79" s="474"/>
      <c r="J79" s="214">
        <f>5000+3225</f>
        <v>8225</v>
      </c>
      <c r="K79" s="176"/>
      <c r="L79" s="173">
        <v>5000</v>
      </c>
      <c r="M79" s="394" t="s">
        <v>0</v>
      </c>
      <c r="N79" s="174">
        <v>0</v>
      </c>
      <c r="O79" s="396"/>
      <c r="P79" s="174">
        <v>0</v>
      </c>
      <c r="Q79" s="396"/>
      <c r="R79" s="174">
        <v>0</v>
      </c>
      <c r="S79" s="396"/>
      <c r="T79" s="491">
        <v>0</v>
      </c>
      <c r="U79" s="396" t="s">
        <v>0</v>
      </c>
      <c r="V79" s="177"/>
      <c r="W79" s="396"/>
      <c r="X79" s="177">
        <v>3225</v>
      </c>
      <c r="Y79" s="437">
        <v>2018</v>
      </c>
      <c r="Z79" s="437">
        <v>659</v>
      </c>
      <c r="AA79" s="396" t="s">
        <v>0</v>
      </c>
      <c r="AB79" s="182">
        <f>+L79+N79+P79+R79+T79+V79+X79</f>
        <v>8225</v>
      </c>
    </row>
    <row r="80" spans="1:31" ht="15.4" x14ac:dyDescent="0.45">
      <c r="A80" s="170"/>
      <c r="B80" s="171">
        <v>6810</v>
      </c>
      <c r="C80" s="172" t="s">
        <v>165</v>
      </c>
      <c r="D80" s="172"/>
      <c r="E80" s="183">
        <v>1784</v>
      </c>
      <c r="F80" s="183"/>
      <c r="G80" s="188">
        <v>4021</v>
      </c>
      <c r="H80" s="463">
        <f t="shared" si="16"/>
        <v>6893.1428571428569</v>
      </c>
      <c r="I80" s="469"/>
      <c r="J80" s="219">
        <v>4300</v>
      </c>
      <c r="K80" s="179"/>
      <c r="L80" s="403">
        <f>M80*J80</f>
        <v>1349.77</v>
      </c>
      <c r="M80" s="397">
        <v>0.31390000000000001</v>
      </c>
      <c r="N80" s="188">
        <v>0</v>
      </c>
      <c r="O80" s="405"/>
      <c r="P80" s="188">
        <v>0</v>
      </c>
      <c r="Q80" s="405"/>
      <c r="R80" s="188">
        <v>0</v>
      </c>
      <c r="S80" s="405"/>
      <c r="T80" s="493">
        <f>U80*J80</f>
        <v>896.55</v>
      </c>
      <c r="U80" s="405">
        <v>0.20849999999999999</v>
      </c>
      <c r="V80" s="185"/>
      <c r="W80" s="405"/>
      <c r="X80" s="177">
        <f>AA80*J80</f>
        <v>2053.6800000000003</v>
      </c>
      <c r="Y80" s="441">
        <v>2001</v>
      </c>
      <c r="Z80" s="441">
        <v>3198</v>
      </c>
      <c r="AA80" s="405">
        <v>0.47760000000000002</v>
      </c>
      <c r="AB80" s="182">
        <f>+L80+N80+P80+R80+T80+V80+X80</f>
        <v>4300</v>
      </c>
    </row>
    <row r="81" spans="1:31" ht="15.4" x14ac:dyDescent="0.45">
      <c r="A81" s="170"/>
      <c r="B81" s="171"/>
      <c r="C81" s="165" t="s">
        <v>166</v>
      </c>
      <c r="D81" s="165"/>
      <c r="E81" s="432">
        <f>SUM(E79:E80)</f>
        <v>4634</v>
      </c>
      <c r="F81" s="432"/>
      <c r="G81" s="465">
        <f>SUM(G79:G80)</f>
        <v>4443</v>
      </c>
      <c r="H81" s="466">
        <f>SUM(H79:H80)</f>
        <v>7616.5714285714284</v>
      </c>
      <c r="I81" s="475"/>
      <c r="J81" s="433">
        <f>SUM(J79:J80)</f>
        <v>12525</v>
      </c>
      <c r="K81" s="432"/>
      <c r="L81" s="206">
        <f>SUM(L79:L80)</f>
        <v>6349.77</v>
      </c>
      <c r="M81" s="383"/>
      <c r="N81" s="206">
        <f t="shared" ref="N81:AB81" si="17">SUM(N79:N80)</f>
        <v>0</v>
      </c>
      <c r="O81" s="383"/>
      <c r="P81" s="206">
        <f t="shared" si="17"/>
        <v>0</v>
      </c>
      <c r="Q81" s="383"/>
      <c r="R81" s="206">
        <f t="shared" si="17"/>
        <v>0</v>
      </c>
      <c r="S81" s="383"/>
      <c r="T81" s="494">
        <f t="shared" si="17"/>
        <v>896.55</v>
      </c>
      <c r="U81" s="383"/>
      <c r="V81" s="206">
        <f t="shared" si="17"/>
        <v>0</v>
      </c>
      <c r="W81" s="383"/>
      <c r="X81" s="206">
        <f t="shared" si="17"/>
        <v>5278.68</v>
      </c>
      <c r="Y81" s="443">
        <f t="shared" si="17"/>
        <v>4019</v>
      </c>
      <c r="Z81" s="443">
        <f t="shared" si="17"/>
        <v>3857</v>
      </c>
      <c r="AA81" s="383"/>
      <c r="AB81" s="206">
        <f t="shared" si="17"/>
        <v>12525</v>
      </c>
      <c r="AE81" s="52">
        <f>+L81+N81+P81+R81+T81+V81+X81</f>
        <v>12525</v>
      </c>
    </row>
    <row r="82" spans="1:31" ht="15.4" x14ac:dyDescent="0.45">
      <c r="A82" s="170"/>
      <c r="B82" s="171"/>
      <c r="C82" s="172"/>
      <c r="D82" s="172"/>
      <c r="E82" s="220"/>
      <c r="F82" s="220"/>
      <c r="G82" s="196"/>
      <c r="H82" s="458"/>
      <c r="I82" s="472"/>
      <c r="J82" s="221"/>
      <c r="K82" s="220"/>
      <c r="L82" s="222"/>
      <c r="M82" s="386"/>
      <c r="N82" s="52"/>
      <c r="O82" s="392"/>
      <c r="P82" s="52"/>
      <c r="Q82" s="392"/>
      <c r="R82" s="52"/>
      <c r="S82" s="392"/>
      <c r="T82" s="495"/>
      <c r="U82" s="392"/>
      <c r="V82" s="52"/>
      <c r="W82" s="392"/>
      <c r="X82" s="52"/>
      <c r="Y82" s="444"/>
      <c r="Z82" s="444"/>
      <c r="AA82" s="392"/>
      <c r="AB82" s="198" t="s">
        <v>0</v>
      </c>
    </row>
    <row r="83" spans="1:31" s="228" customFormat="1" ht="23.25" x14ac:dyDescent="0.7">
      <c r="A83" s="223"/>
      <c r="B83" s="171"/>
      <c r="C83" s="190" t="s">
        <v>167</v>
      </c>
      <c r="D83" s="190"/>
      <c r="E83" s="224">
        <f>+E33+E48+E58+E66+E76+E81</f>
        <v>2002728</v>
      </c>
      <c r="F83" s="224"/>
      <c r="G83" s="224">
        <f>+G33+G48+G58+G66+G76+G81</f>
        <v>1046230</v>
      </c>
      <c r="H83" s="460">
        <f>+H33+H48+H58+H66+H76+H81</f>
        <v>1797759.5714285714</v>
      </c>
      <c r="I83" s="224"/>
      <c r="J83" s="225">
        <f>+J33+J48+J58+J66+J76+J81</f>
        <v>2040863.6267828802</v>
      </c>
      <c r="K83" s="224"/>
      <c r="L83" s="224">
        <f>+L33+L48+L58+L66+L76+L81</f>
        <v>299707.16500000004</v>
      </c>
      <c r="M83" s="387"/>
      <c r="N83" s="224">
        <f>+N33+N48+N58+N66+N76+N81</f>
        <v>158000</v>
      </c>
      <c r="O83" s="387"/>
      <c r="P83" s="224">
        <f>+P33+P48+P58+P66+P76+P81</f>
        <v>145000</v>
      </c>
      <c r="Q83" s="387"/>
      <c r="R83" s="224">
        <f>+R33+R48+R58+R66+R76+R81</f>
        <v>188000</v>
      </c>
      <c r="S83" s="387"/>
      <c r="T83" s="497">
        <f>+T33+T48+T58+T66+T76+T81</f>
        <v>122773.31112984</v>
      </c>
      <c r="U83" s="387"/>
      <c r="V83" s="224">
        <f>+V33+V48+V58+V66+V76+V81</f>
        <v>85600</v>
      </c>
      <c r="W83" s="387"/>
      <c r="X83" s="224">
        <f>+X33+X48+X58+X66+X76+X81</f>
        <v>1041782.8006530399</v>
      </c>
      <c r="Y83" s="448">
        <f>+Y33+Y48+Y58+Y66+Y76+Y81</f>
        <v>943311</v>
      </c>
      <c r="Z83" s="448">
        <f>+Z33+Z48+Z58+Z66+Z76+Z81</f>
        <v>423096</v>
      </c>
      <c r="AA83" s="387"/>
      <c r="AB83" s="225">
        <f>+AB33+AB48+AB58+AB66+AB76+AB81</f>
        <v>2040863.2767828801</v>
      </c>
      <c r="AE83" s="52">
        <f>+L83+N83+P83+R83+T83+V83+X83</f>
        <v>2040863.2767828801</v>
      </c>
    </row>
    <row r="84" spans="1:31" ht="15.4" x14ac:dyDescent="0.45">
      <c r="A84" s="170"/>
      <c r="B84" s="171"/>
      <c r="C84" s="172"/>
      <c r="D84" s="172"/>
      <c r="E84" s="229"/>
      <c r="F84" s="229"/>
      <c r="G84" s="196"/>
      <c r="H84" s="458"/>
      <c r="I84" s="472"/>
      <c r="J84" s="230"/>
      <c r="K84" s="376"/>
      <c r="L84" s="231"/>
      <c r="M84" s="388"/>
      <c r="N84" s="52"/>
      <c r="O84" s="392"/>
      <c r="P84" s="52"/>
      <c r="Q84" s="392"/>
      <c r="R84" s="52"/>
      <c r="S84" s="392"/>
      <c r="T84" s="495"/>
      <c r="U84" s="392"/>
      <c r="V84" s="52"/>
      <c r="W84" s="392"/>
      <c r="X84" s="52"/>
      <c r="Y84" s="444"/>
      <c r="Z84" s="444"/>
      <c r="AA84" s="392"/>
      <c r="AB84" s="198" t="s">
        <v>0</v>
      </c>
    </row>
    <row r="85" spans="1:31" ht="17.25" customHeight="1" x14ac:dyDescent="0.5">
      <c r="B85" s="98"/>
      <c r="C85" s="232"/>
      <c r="D85" s="232"/>
      <c r="E85" s="229"/>
      <c r="F85" s="229"/>
      <c r="G85" s="196"/>
      <c r="H85" s="458"/>
      <c r="I85" s="472"/>
      <c r="J85" s="230" t="s">
        <v>0</v>
      </c>
      <c r="K85" s="376"/>
      <c r="L85" s="231"/>
      <c r="M85" s="388"/>
      <c r="N85" s="52"/>
      <c r="O85" s="392"/>
      <c r="P85" s="52"/>
      <c r="Q85" s="392"/>
      <c r="R85" s="52"/>
      <c r="S85" s="392"/>
      <c r="T85" s="495" t="s">
        <v>0</v>
      </c>
      <c r="U85" s="392"/>
      <c r="V85" s="52" t="s">
        <v>0</v>
      </c>
      <c r="W85" s="392"/>
      <c r="X85" s="52"/>
      <c r="Y85" s="444"/>
      <c r="Z85" s="444"/>
      <c r="AA85" s="392"/>
      <c r="AB85" s="198" t="s">
        <v>0</v>
      </c>
    </row>
    <row r="86" spans="1:31" s="233" customFormat="1" ht="18.399999999999999" thickBot="1" x14ac:dyDescent="0.6">
      <c r="B86" s="234"/>
      <c r="C86" s="235" t="s">
        <v>168</v>
      </c>
      <c r="D86" s="235"/>
      <c r="E86" s="238">
        <f>+E24-E83</f>
        <v>-99608</v>
      </c>
      <c r="F86" s="238"/>
      <c r="G86" s="238">
        <f>+G24-G83</f>
        <v>-144090</v>
      </c>
      <c r="H86" s="462">
        <f>+H24-H83</f>
        <v>-341690.57142857136</v>
      </c>
      <c r="I86" s="476"/>
      <c r="J86" s="461">
        <f>+J24-J83</f>
        <v>-109306.17722596833</v>
      </c>
      <c r="K86" s="476"/>
      <c r="L86" s="238">
        <f>+L24-L83</f>
        <v>-61911.165000000037</v>
      </c>
      <c r="M86" s="389"/>
      <c r="N86" s="238">
        <f>+N24-N83</f>
        <v>0</v>
      </c>
      <c r="O86" s="389"/>
      <c r="P86" s="238">
        <f>+P24-P83</f>
        <v>0</v>
      </c>
      <c r="Q86" s="389"/>
      <c r="R86" s="238">
        <f>+R24-R83</f>
        <v>0</v>
      </c>
      <c r="S86" s="389"/>
      <c r="T86" s="498">
        <f>+T24-T83</f>
        <v>-15394.662225968001</v>
      </c>
      <c r="U86" s="389"/>
      <c r="V86" s="238">
        <f>+V24-V83</f>
        <v>-32000</v>
      </c>
      <c r="W86" s="389"/>
      <c r="X86" s="238">
        <f>+X24-X83</f>
        <v>0</v>
      </c>
      <c r="Y86" s="449">
        <f>+Y24-Y83</f>
        <v>59523</v>
      </c>
      <c r="Z86" s="449">
        <f>+Z24-Z83</f>
        <v>12161</v>
      </c>
      <c r="AA86" s="389"/>
      <c r="AB86" s="238">
        <f>+AB24-AB83</f>
        <v>-109305.82722596824</v>
      </c>
      <c r="AC86" s="240" t="s">
        <v>0</v>
      </c>
      <c r="AD86" s="233" t="s">
        <v>0</v>
      </c>
      <c r="AE86" s="52">
        <f>+L86+N86+P86+R86+T86+V86+X86</f>
        <v>-109305.82722596804</v>
      </c>
    </row>
    <row r="87" spans="1:31" ht="16.149999999999999" thickTop="1" x14ac:dyDescent="0.5">
      <c r="B87" s="234"/>
      <c r="C87" s="232"/>
      <c r="D87" s="232"/>
      <c r="E87" s="229"/>
      <c r="F87" s="229"/>
      <c r="G87" s="196"/>
      <c r="H87" s="196"/>
      <c r="I87" s="472"/>
      <c r="J87" s="376">
        <v>32000</v>
      </c>
      <c r="K87" s="376"/>
      <c r="L87" s="229"/>
      <c r="M87" s="229"/>
      <c r="N87" s="178"/>
      <c r="O87" s="178"/>
      <c r="P87" s="178"/>
      <c r="Q87" s="178"/>
      <c r="R87" s="178"/>
      <c r="S87" s="178"/>
    </row>
    <row r="88" spans="1:31" x14ac:dyDescent="0.5">
      <c r="B88" s="98"/>
      <c r="C88" s="150"/>
      <c r="D88" s="150"/>
      <c r="E88" s="229"/>
      <c r="F88" s="229"/>
      <c r="G88" s="196"/>
      <c r="H88" s="196"/>
      <c r="I88" s="472"/>
      <c r="J88" s="229">
        <f>SUM(J86:J87)</f>
        <v>-77306.177225968335</v>
      </c>
      <c r="K88" s="376"/>
      <c r="L88" s="229"/>
      <c r="M88" s="229"/>
      <c r="N88" s="178"/>
      <c r="O88" s="178"/>
      <c r="P88" s="178"/>
      <c r="Q88" s="178"/>
      <c r="R88" s="178"/>
      <c r="S88" s="178"/>
      <c r="T88" s="241"/>
      <c r="U88" s="241"/>
      <c r="V88" s="241"/>
      <c r="W88" s="241"/>
    </row>
    <row r="89" spans="1:31" x14ac:dyDescent="0.5">
      <c r="B89" s="98"/>
      <c r="E89" s="229"/>
      <c r="F89" s="229"/>
      <c r="G89" s="196"/>
      <c r="H89" s="196"/>
      <c r="I89" s="472"/>
      <c r="J89" s="229"/>
      <c r="K89" s="376"/>
      <c r="L89" s="229"/>
      <c r="M89" s="229"/>
      <c r="N89" s="178"/>
      <c r="O89" s="178"/>
      <c r="P89" s="178"/>
      <c r="Q89" s="178"/>
      <c r="R89" s="178"/>
      <c r="S89" s="178"/>
      <c r="T89" s="241" t="s">
        <v>304</v>
      </c>
      <c r="U89" s="241"/>
      <c r="V89" s="241" t="s">
        <v>304</v>
      </c>
      <c r="W89" s="241"/>
      <c r="X89" t="s">
        <v>304</v>
      </c>
    </row>
    <row r="90" spans="1:31" x14ac:dyDescent="0.45">
      <c r="B90" s="98"/>
      <c r="C90" s="242" t="s">
        <v>0</v>
      </c>
      <c r="D90" s="242"/>
      <c r="E90" s="229"/>
      <c r="F90" s="229"/>
      <c r="G90" s="196"/>
      <c r="H90" s="196"/>
      <c r="I90" s="472"/>
      <c r="J90" s="229"/>
      <c r="K90" s="376"/>
      <c r="L90" s="229"/>
      <c r="M90" s="229"/>
      <c r="N90" s="178"/>
      <c r="O90" s="178"/>
      <c r="P90" s="178"/>
      <c r="Q90" s="178"/>
      <c r="R90" s="178"/>
      <c r="S90" s="178"/>
      <c r="T90" s="52">
        <f>T83*80%</f>
        <v>98218.648903872003</v>
      </c>
      <c r="U90" s="6">
        <v>0.8</v>
      </c>
      <c r="V90" s="52">
        <f>V83*50%</f>
        <v>42800</v>
      </c>
      <c r="W90" s="52"/>
      <c r="X90" s="198">
        <f>+X83</f>
        <v>1041782.8006530399</v>
      </c>
      <c r="Y90" s="198"/>
      <c r="Z90" s="198"/>
    </row>
    <row r="91" spans="1:31" x14ac:dyDescent="0.5">
      <c r="B91" s="98"/>
      <c r="E91" s="229"/>
      <c r="F91" s="229"/>
      <c r="G91" s="196"/>
      <c r="H91" s="196"/>
      <c r="I91" s="472"/>
      <c r="J91" s="229"/>
      <c r="K91" s="376"/>
      <c r="L91" s="229"/>
      <c r="M91" s="229"/>
      <c r="N91" s="178"/>
      <c r="O91" s="178"/>
      <c r="P91" s="178"/>
      <c r="Q91" s="178"/>
      <c r="R91" s="178"/>
      <c r="S91" s="178"/>
      <c r="T91" s="52">
        <f>T90*10%</f>
        <v>9821.8648903871999</v>
      </c>
      <c r="U91" s="6">
        <v>0.1</v>
      </c>
      <c r="V91" s="52">
        <f>V90*10%</f>
        <v>4280</v>
      </c>
      <c r="W91" s="52"/>
      <c r="X91" s="198">
        <f>X90*10%</f>
        <v>104178.280065304</v>
      </c>
      <c r="Y91" s="198">
        <f>+T91+V91+X91</f>
        <v>118280.1449556912</v>
      </c>
      <c r="Z91" s="198"/>
      <c r="AB91" s="52" t="s">
        <v>0</v>
      </c>
    </row>
    <row r="92" spans="1:31" x14ac:dyDescent="0.45">
      <c r="B92" s="243"/>
      <c r="C92" s="242"/>
      <c r="D92" s="242"/>
      <c r="E92" s="229"/>
      <c r="F92" s="229"/>
      <c r="G92" s="196"/>
      <c r="H92" s="196"/>
      <c r="I92" s="472"/>
      <c r="J92" s="229"/>
      <c r="K92" s="376"/>
      <c r="L92" s="229"/>
      <c r="M92" s="229"/>
      <c r="N92" s="178"/>
      <c r="O92" s="178"/>
      <c r="P92" s="178"/>
      <c r="Q92" s="178"/>
      <c r="R92" s="178"/>
      <c r="S92" s="178"/>
      <c r="T92" s="52"/>
      <c r="U92" s="52"/>
      <c r="V92" s="52"/>
      <c r="W92" s="52"/>
    </row>
    <row r="93" spans="1:31" x14ac:dyDescent="0.5">
      <c r="B93" s="98"/>
      <c r="E93" s="229"/>
      <c r="F93" s="229"/>
      <c r="G93" s="196"/>
      <c r="H93" s="196"/>
      <c r="I93" s="472"/>
      <c r="J93" s="229"/>
      <c r="K93" s="376"/>
      <c r="L93" s="229"/>
      <c r="M93" s="229"/>
      <c r="N93" s="178"/>
      <c r="O93" s="178"/>
      <c r="P93" s="178"/>
      <c r="Q93" s="178"/>
      <c r="R93" s="178"/>
      <c r="S93" s="178"/>
      <c r="T93" s="52"/>
      <c r="U93" s="52"/>
      <c r="V93" s="52"/>
      <c r="W93" s="52"/>
    </row>
    <row r="94" spans="1:31" x14ac:dyDescent="0.5">
      <c r="B94" s="98"/>
      <c r="E94" s="244"/>
      <c r="F94" s="244"/>
      <c r="G94" s="196"/>
      <c r="H94" s="196"/>
      <c r="I94" s="472"/>
      <c r="J94" s="244"/>
      <c r="K94" s="478"/>
      <c r="L94" s="244"/>
      <c r="M94" s="244"/>
      <c r="N94" s="178"/>
      <c r="O94" s="178"/>
      <c r="P94" s="178"/>
      <c r="Q94" s="178"/>
      <c r="R94" s="178"/>
      <c r="S94" s="178"/>
      <c r="T94" s="52"/>
      <c r="U94" s="52"/>
      <c r="V94" s="52"/>
      <c r="W94" s="52"/>
    </row>
    <row r="95" spans="1:31" x14ac:dyDescent="0.5">
      <c r="B95" s="98"/>
      <c r="E95" s="244"/>
      <c r="F95" s="244"/>
      <c r="G95" s="196"/>
      <c r="H95" s="196"/>
      <c r="I95" s="472"/>
      <c r="J95" s="244"/>
      <c r="K95" s="478"/>
      <c r="L95" s="244"/>
      <c r="M95" s="244"/>
      <c r="N95" s="178"/>
      <c r="O95" s="178"/>
      <c r="P95" s="178"/>
      <c r="Q95" s="178"/>
      <c r="R95" s="178"/>
      <c r="S95" s="178"/>
      <c r="T95" s="52"/>
      <c r="U95" s="52"/>
      <c r="V95" s="52"/>
      <c r="W95" s="52"/>
    </row>
    <row r="96" spans="1:31" x14ac:dyDescent="0.5">
      <c r="B96" s="98"/>
      <c r="E96" s="244"/>
      <c r="F96" s="244"/>
      <c r="G96" s="196"/>
      <c r="H96" s="196"/>
      <c r="I96" s="472"/>
      <c r="J96" s="244"/>
      <c r="K96" s="478"/>
      <c r="L96" s="244"/>
      <c r="M96" s="244"/>
      <c r="N96" s="178"/>
      <c r="O96" s="178"/>
      <c r="P96" s="178"/>
      <c r="Q96" s="178"/>
      <c r="R96" s="178"/>
      <c r="S96" s="178"/>
      <c r="T96" s="52"/>
      <c r="U96" s="52"/>
      <c r="V96" s="52"/>
      <c r="W96" s="52"/>
    </row>
    <row r="97" spans="2:21" x14ac:dyDescent="0.5">
      <c r="B97" s="98"/>
      <c r="E97" s="244"/>
      <c r="F97" s="244"/>
      <c r="G97" s="196"/>
      <c r="H97" s="196"/>
      <c r="I97" s="472"/>
      <c r="J97" s="244"/>
      <c r="K97" s="478"/>
      <c r="L97" s="244"/>
      <c r="M97" s="244"/>
      <c r="N97" s="7"/>
      <c r="O97" s="7"/>
      <c r="P97" s="7"/>
      <c r="Q97" s="7"/>
      <c r="R97" s="7"/>
      <c r="S97" s="7"/>
    </row>
    <row r="98" spans="2:21" x14ac:dyDescent="0.5">
      <c r="B98" s="98"/>
      <c r="E98" s="244"/>
      <c r="F98" s="244"/>
      <c r="G98" s="395"/>
      <c r="H98" s="196"/>
      <c r="I98" s="472"/>
      <c r="J98" s="244"/>
      <c r="K98" s="478"/>
      <c r="L98" s="244"/>
      <c r="M98" s="244"/>
      <c r="N98" s="7"/>
      <c r="O98" s="7"/>
      <c r="P98" s="7"/>
      <c r="Q98" s="7"/>
      <c r="R98" s="7"/>
      <c r="S98" s="7"/>
      <c r="T98" s="241"/>
      <c r="U98" s="241"/>
    </row>
    <row r="99" spans="2:21" x14ac:dyDescent="0.5">
      <c r="B99" s="98"/>
      <c r="E99" s="244"/>
      <c r="F99" s="244"/>
      <c r="G99" s="395"/>
      <c r="H99" s="196"/>
      <c r="I99" s="472"/>
      <c r="J99" s="244"/>
      <c r="K99" s="478"/>
      <c r="L99" s="244"/>
      <c r="M99" s="244"/>
      <c r="N99" s="7"/>
      <c r="O99" s="7"/>
      <c r="P99" s="7"/>
      <c r="Q99" s="7"/>
      <c r="R99" s="7"/>
      <c r="S99" s="7"/>
    </row>
    <row r="100" spans="2:21" x14ac:dyDescent="0.5">
      <c r="B100" s="98"/>
      <c r="E100" s="244"/>
      <c r="F100" s="244"/>
      <c r="G100" s="395"/>
      <c r="H100" s="395"/>
      <c r="I100" s="477"/>
      <c r="J100" s="244"/>
      <c r="K100" s="478"/>
      <c r="L100" s="244"/>
      <c r="M100" s="244"/>
      <c r="N100" s="7"/>
      <c r="O100" s="7"/>
      <c r="P100" s="7"/>
      <c r="Q100" s="7"/>
      <c r="R100" s="7"/>
      <c r="S100" s="7"/>
    </row>
    <row r="101" spans="2:21" x14ac:dyDescent="0.5">
      <c r="B101" s="98"/>
      <c r="E101" s="244"/>
      <c r="F101" s="244"/>
      <c r="G101" s="395"/>
      <c r="H101" s="196"/>
      <c r="I101" s="472"/>
      <c r="J101" s="244"/>
      <c r="K101" s="478"/>
      <c r="L101" s="244"/>
      <c r="M101" s="244"/>
      <c r="N101" s="7"/>
      <c r="O101" s="7"/>
      <c r="P101" s="7"/>
      <c r="Q101" s="7"/>
      <c r="R101" s="7"/>
      <c r="S101" s="7"/>
    </row>
    <row r="102" spans="2:21" x14ac:dyDescent="0.5">
      <c r="B102" s="98"/>
      <c r="E102" s="244"/>
      <c r="F102" s="244"/>
      <c r="G102" s="395"/>
      <c r="H102" s="196"/>
      <c r="I102" s="472"/>
      <c r="J102" s="244"/>
      <c r="K102" s="478"/>
      <c r="L102" s="244"/>
      <c r="M102" s="244"/>
      <c r="N102" s="7"/>
      <c r="O102" s="7"/>
      <c r="P102" s="7"/>
      <c r="Q102" s="7"/>
      <c r="R102" s="7"/>
      <c r="S102" s="7"/>
    </row>
    <row r="103" spans="2:21" x14ac:dyDescent="0.5">
      <c r="B103" s="98"/>
      <c r="E103" s="244"/>
      <c r="F103" s="244"/>
      <c r="G103" s="395"/>
      <c r="H103" s="196"/>
      <c r="I103" s="472"/>
      <c r="J103" s="244"/>
      <c r="K103" s="478"/>
      <c r="L103" s="244"/>
      <c r="M103" s="244"/>
      <c r="N103" s="7"/>
      <c r="O103" s="7"/>
      <c r="P103" s="7"/>
      <c r="Q103" s="7"/>
      <c r="R103" s="7"/>
      <c r="S103" s="7"/>
    </row>
    <row r="104" spans="2:21" x14ac:dyDescent="0.5">
      <c r="B104" s="19"/>
      <c r="E104" s="244"/>
      <c r="F104" s="244"/>
      <c r="G104" s="244"/>
      <c r="H104" s="244"/>
      <c r="I104" s="478"/>
      <c r="J104" s="244"/>
      <c r="K104" s="478"/>
      <c r="L104" s="244"/>
      <c r="M104" s="244"/>
      <c r="N104" s="7"/>
      <c r="O104" s="7"/>
      <c r="P104" s="7"/>
      <c r="Q104" s="7"/>
      <c r="R104" s="7"/>
      <c r="S104" s="7"/>
    </row>
    <row r="105" spans="2:21" x14ac:dyDescent="0.5">
      <c r="B105" s="149"/>
      <c r="E105" s="244"/>
      <c r="F105" s="244"/>
      <c r="G105" s="244"/>
      <c r="H105" s="244"/>
      <c r="I105" s="478"/>
      <c r="J105" s="244"/>
      <c r="K105" s="478"/>
      <c r="L105" s="244"/>
      <c r="M105" s="244"/>
      <c r="N105" s="7"/>
      <c r="O105" s="7"/>
      <c r="P105" s="7"/>
      <c r="Q105" s="7"/>
      <c r="R105" s="7"/>
      <c r="S105" s="7"/>
    </row>
    <row r="106" spans="2:21" x14ac:dyDescent="0.5">
      <c r="B106" s="149"/>
      <c r="E106" s="244"/>
      <c r="F106" s="244"/>
      <c r="G106" s="244"/>
      <c r="H106" s="244"/>
      <c r="I106" s="478"/>
      <c r="J106" s="244"/>
      <c r="K106" s="478"/>
      <c r="L106" s="244"/>
      <c r="M106" s="244"/>
      <c r="N106" s="7"/>
      <c r="O106" s="7"/>
      <c r="P106" s="7"/>
      <c r="Q106" s="7"/>
      <c r="R106" s="7"/>
      <c r="S106" s="7"/>
    </row>
    <row r="107" spans="2:21" x14ac:dyDescent="0.5">
      <c r="B107" s="149"/>
      <c r="E107" s="244"/>
      <c r="F107" s="244"/>
      <c r="G107" s="244"/>
      <c r="H107" s="244"/>
      <c r="I107" s="478"/>
      <c r="J107" s="244"/>
      <c r="K107" s="478"/>
      <c r="L107" s="244"/>
      <c r="M107" s="244"/>
      <c r="N107" s="7"/>
      <c r="O107" s="7"/>
      <c r="P107" s="7"/>
      <c r="Q107" s="7"/>
      <c r="R107" s="7"/>
      <c r="S107" s="7"/>
    </row>
    <row r="108" spans="2:21" x14ac:dyDescent="0.5">
      <c r="B108" s="149"/>
      <c r="E108" s="244"/>
      <c r="F108" s="244"/>
      <c r="G108" s="244"/>
      <c r="H108" s="244"/>
      <c r="I108" s="478"/>
      <c r="J108" s="244"/>
      <c r="K108" s="478"/>
      <c r="L108" s="244"/>
      <c r="M108" s="244"/>
      <c r="N108" s="7"/>
      <c r="O108" s="7"/>
      <c r="P108" s="7"/>
      <c r="Q108" s="7"/>
      <c r="R108" s="7"/>
      <c r="S108" s="7"/>
    </row>
    <row r="109" spans="2:21" x14ac:dyDescent="0.5">
      <c r="B109" s="149"/>
      <c r="E109" s="244"/>
      <c r="F109" s="244"/>
      <c r="G109" s="244"/>
      <c r="H109" s="244"/>
      <c r="I109" s="478"/>
      <c r="J109" s="244"/>
      <c r="K109" s="478"/>
      <c r="L109" s="244"/>
      <c r="M109" s="244"/>
      <c r="N109" s="7"/>
      <c r="O109" s="7"/>
      <c r="P109" s="7"/>
      <c r="Q109" s="7"/>
      <c r="R109" s="7"/>
      <c r="S109" s="7"/>
    </row>
    <row r="110" spans="2:21" x14ac:dyDescent="0.5">
      <c r="B110" s="149"/>
      <c r="E110" s="244"/>
      <c r="F110" s="244"/>
      <c r="G110" s="244"/>
      <c r="H110" s="244"/>
      <c r="I110" s="478"/>
      <c r="J110" s="244"/>
      <c r="K110" s="478"/>
      <c r="L110" s="244"/>
      <c r="M110" s="244"/>
      <c r="N110" s="7"/>
      <c r="O110" s="7"/>
      <c r="P110" s="7"/>
      <c r="Q110" s="7"/>
      <c r="R110" s="7"/>
      <c r="S110" s="7"/>
    </row>
    <row r="111" spans="2:21" x14ac:dyDescent="0.5">
      <c r="B111" s="149"/>
      <c r="E111" s="246"/>
      <c r="F111" s="246"/>
      <c r="G111" s="246"/>
      <c r="H111" s="246"/>
      <c r="I111" s="479"/>
      <c r="J111" s="246"/>
      <c r="K111" s="479"/>
      <c r="L111" s="246"/>
      <c r="M111" s="246"/>
      <c r="N111" s="7"/>
      <c r="O111" s="7"/>
      <c r="P111" s="7"/>
      <c r="Q111" s="7"/>
      <c r="R111" s="7"/>
      <c r="S111" s="7"/>
    </row>
    <row r="112" spans="2:21" x14ac:dyDescent="0.5">
      <c r="B112" s="149"/>
      <c r="E112" s="246"/>
      <c r="F112" s="246"/>
      <c r="G112" s="246"/>
      <c r="H112" s="246"/>
      <c r="I112" s="479"/>
      <c r="J112" s="246"/>
      <c r="K112" s="479"/>
      <c r="L112" s="246"/>
      <c r="M112" s="246"/>
      <c r="N112" s="7"/>
      <c r="O112" s="7"/>
      <c r="P112" s="7"/>
      <c r="Q112" s="7"/>
      <c r="R112" s="7"/>
      <c r="S112" s="7"/>
    </row>
    <row r="113" spans="2:19" x14ac:dyDescent="0.5">
      <c r="B113" s="149"/>
      <c r="E113" s="246"/>
      <c r="F113" s="246"/>
      <c r="G113" s="246"/>
      <c r="H113" s="246"/>
      <c r="I113" s="479"/>
      <c r="J113" s="246"/>
      <c r="K113" s="246"/>
      <c r="L113" s="246"/>
      <c r="M113" s="246"/>
      <c r="N113" s="7"/>
      <c r="O113" s="7"/>
      <c r="P113" s="7"/>
      <c r="Q113" s="7"/>
      <c r="R113" s="7"/>
      <c r="S113" s="7"/>
    </row>
    <row r="114" spans="2:19" x14ac:dyDescent="0.5">
      <c r="B114" s="149"/>
      <c r="E114" s="246"/>
      <c r="F114" s="246"/>
      <c r="G114" s="246"/>
      <c r="H114" s="246"/>
      <c r="I114" s="479"/>
      <c r="J114" s="246"/>
      <c r="K114" s="246"/>
      <c r="L114" s="246"/>
      <c r="M114" s="246"/>
    </row>
    <row r="115" spans="2:19" x14ac:dyDescent="0.5">
      <c r="B115" s="149"/>
      <c r="E115" s="246"/>
      <c r="F115" s="246"/>
      <c r="G115" s="246"/>
      <c r="H115" s="246"/>
      <c r="I115" s="479"/>
      <c r="J115" s="246"/>
      <c r="K115" s="246"/>
      <c r="L115" s="246"/>
      <c r="M115" s="246"/>
    </row>
    <row r="116" spans="2:19" x14ac:dyDescent="0.5">
      <c r="B116" s="149"/>
      <c r="E116" s="246"/>
      <c r="F116" s="246"/>
      <c r="G116" s="246"/>
      <c r="H116" s="246"/>
      <c r="I116" s="479"/>
      <c r="J116" s="246"/>
      <c r="K116" s="246"/>
      <c r="L116" s="246"/>
      <c r="M116" s="246"/>
    </row>
    <row r="117" spans="2:19" x14ac:dyDescent="0.5">
      <c r="B117" s="149"/>
      <c r="E117" s="246"/>
      <c r="F117" s="246"/>
      <c r="G117" s="246"/>
      <c r="H117" s="246"/>
      <c r="I117" s="479"/>
      <c r="J117" s="246"/>
      <c r="K117" s="246"/>
      <c r="L117" s="246"/>
      <c r="M117" s="246"/>
    </row>
    <row r="118" spans="2:19" x14ac:dyDescent="0.5">
      <c r="B118" s="149"/>
      <c r="E118" s="246"/>
      <c r="F118" s="246"/>
      <c r="G118" s="246"/>
      <c r="H118" s="246"/>
      <c r="I118" s="479"/>
      <c r="J118" s="246"/>
      <c r="K118" s="246"/>
      <c r="L118" s="246"/>
      <c r="M118" s="246"/>
    </row>
    <row r="119" spans="2:19" x14ac:dyDescent="0.5">
      <c r="B119" s="149"/>
      <c r="E119" s="246"/>
      <c r="F119" s="246"/>
      <c r="G119" s="246"/>
      <c r="H119" s="246"/>
      <c r="I119" s="479"/>
      <c r="J119" s="246"/>
      <c r="K119" s="246"/>
      <c r="L119" s="246"/>
      <c r="M119" s="246"/>
    </row>
    <row r="120" spans="2:19" x14ac:dyDescent="0.5">
      <c r="B120" s="149"/>
      <c r="E120" s="246"/>
      <c r="F120" s="246"/>
      <c r="G120" s="246"/>
      <c r="H120" s="246"/>
      <c r="I120" s="479"/>
      <c r="J120" s="246"/>
      <c r="K120" s="246"/>
      <c r="L120" s="246"/>
      <c r="M120" s="246"/>
    </row>
    <row r="121" spans="2:19" x14ac:dyDescent="0.5">
      <c r="B121" s="149"/>
      <c r="E121" s="246"/>
      <c r="F121" s="246"/>
      <c r="G121" s="246"/>
      <c r="H121" s="246"/>
      <c r="I121" s="479"/>
      <c r="J121" s="246"/>
      <c r="K121" s="246"/>
      <c r="L121" s="246"/>
      <c r="M121" s="246"/>
    </row>
    <row r="122" spans="2:19" x14ac:dyDescent="0.5">
      <c r="B122" s="149"/>
      <c r="E122" s="246"/>
      <c r="F122" s="246"/>
      <c r="G122" s="246"/>
      <c r="H122" s="246"/>
      <c r="I122" s="479"/>
      <c r="J122" s="246"/>
      <c r="K122" s="246"/>
      <c r="L122" s="246"/>
      <c r="M122" s="246"/>
    </row>
    <row r="123" spans="2:19" x14ac:dyDescent="0.5">
      <c r="B123" s="149"/>
      <c r="E123" s="246"/>
      <c r="F123" s="246"/>
      <c r="G123" s="246"/>
      <c r="H123" s="246"/>
      <c r="I123" s="479"/>
      <c r="J123" s="246"/>
      <c r="K123" s="246"/>
      <c r="L123" s="246"/>
      <c r="M123" s="246"/>
    </row>
    <row r="124" spans="2:19" x14ac:dyDescent="0.5">
      <c r="B124" s="149"/>
      <c r="E124" s="246"/>
      <c r="F124" s="246"/>
      <c r="G124" s="246"/>
      <c r="H124" s="246"/>
      <c r="I124" s="479"/>
      <c r="J124" s="246"/>
      <c r="K124" s="246"/>
      <c r="L124" s="246"/>
      <c r="M124" s="246"/>
    </row>
    <row r="125" spans="2:19" x14ac:dyDescent="0.5">
      <c r="B125" s="149"/>
      <c r="E125" s="246"/>
      <c r="F125" s="246"/>
      <c r="G125" s="246"/>
      <c r="H125" s="246"/>
      <c r="I125" s="246"/>
      <c r="J125" s="246"/>
      <c r="K125" s="246"/>
      <c r="L125" s="246"/>
      <c r="M125" s="246"/>
    </row>
    <row r="126" spans="2:19" x14ac:dyDescent="0.5">
      <c r="B126" s="149"/>
      <c r="E126" s="246"/>
      <c r="F126" s="246"/>
      <c r="G126" s="246"/>
      <c r="H126" s="246"/>
      <c r="I126" s="246"/>
      <c r="J126" s="246"/>
      <c r="K126" s="246"/>
      <c r="L126" s="246"/>
      <c r="M126" s="246"/>
    </row>
    <row r="127" spans="2:19" x14ac:dyDescent="0.5">
      <c r="B127" s="149"/>
      <c r="E127" s="246"/>
      <c r="F127" s="246"/>
      <c r="G127" s="246"/>
      <c r="H127" s="246"/>
      <c r="I127" s="246"/>
      <c r="J127" s="246"/>
      <c r="K127" s="246"/>
      <c r="L127" s="246"/>
      <c r="M127" s="246"/>
    </row>
    <row r="128" spans="2:19" x14ac:dyDescent="0.5">
      <c r="B128" s="149"/>
      <c r="E128" s="246"/>
      <c r="F128" s="246"/>
      <c r="G128" s="246"/>
      <c r="H128" s="246"/>
      <c r="I128" s="246"/>
      <c r="J128" s="246"/>
      <c r="K128" s="246"/>
      <c r="L128" s="246"/>
      <c r="M128" s="246"/>
    </row>
    <row r="129" spans="2:13" x14ac:dyDescent="0.5">
      <c r="B129" s="149"/>
      <c r="E129" s="246"/>
      <c r="F129" s="246"/>
      <c r="G129" s="246"/>
      <c r="H129" s="246"/>
      <c r="I129" s="246"/>
      <c r="J129" s="246"/>
      <c r="K129" s="246"/>
      <c r="L129" s="246"/>
      <c r="M129" s="246"/>
    </row>
    <row r="130" spans="2:13" x14ac:dyDescent="0.5">
      <c r="B130" s="149"/>
      <c r="E130" s="246"/>
      <c r="F130" s="246"/>
      <c r="G130" s="246"/>
      <c r="H130" s="246"/>
      <c r="I130" s="246"/>
      <c r="J130" s="246"/>
      <c r="K130" s="246"/>
      <c r="L130" s="246"/>
      <c r="M130" s="246"/>
    </row>
    <row r="131" spans="2:13" x14ac:dyDescent="0.5">
      <c r="B131" s="149"/>
      <c r="E131" s="246"/>
      <c r="F131" s="246"/>
      <c r="G131" s="246"/>
      <c r="H131" s="246"/>
      <c r="I131" s="246"/>
      <c r="J131" s="246"/>
      <c r="K131" s="246"/>
      <c r="L131" s="246"/>
      <c r="M131" s="246"/>
    </row>
    <row r="132" spans="2:13" x14ac:dyDescent="0.5">
      <c r="B132" s="149"/>
      <c r="E132" s="246"/>
      <c r="F132" s="246"/>
      <c r="G132" s="246"/>
      <c r="H132" s="246"/>
      <c r="I132" s="246"/>
      <c r="J132" s="246"/>
      <c r="K132" s="246"/>
      <c r="L132" s="246"/>
      <c r="M132" s="246"/>
    </row>
    <row r="133" spans="2:13" x14ac:dyDescent="0.5">
      <c r="B133" s="149"/>
      <c r="E133" s="246"/>
      <c r="F133" s="246"/>
      <c r="G133" s="246"/>
      <c r="H133" s="246"/>
      <c r="I133" s="246"/>
      <c r="J133" s="246"/>
      <c r="K133" s="246"/>
      <c r="L133" s="246"/>
      <c r="M133" s="246"/>
    </row>
    <row r="134" spans="2:13" x14ac:dyDescent="0.5">
      <c r="B134" s="149"/>
      <c r="E134" s="246"/>
      <c r="F134" s="246"/>
      <c r="G134" s="246"/>
      <c r="H134" s="246"/>
      <c r="I134" s="246"/>
      <c r="J134" s="246"/>
      <c r="K134" s="246"/>
      <c r="L134" s="246"/>
      <c r="M134" s="246"/>
    </row>
    <row r="135" spans="2:13" x14ac:dyDescent="0.5">
      <c r="B135" s="149"/>
      <c r="E135" s="246"/>
      <c r="F135" s="246"/>
      <c r="G135" s="246"/>
      <c r="H135" s="246"/>
      <c r="I135" s="246"/>
      <c r="J135" s="246"/>
      <c r="K135" s="246"/>
      <c r="L135" s="246"/>
      <c r="M135" s="246"/>
    </row>
    <row r="136" spans="2:13" x14ac:dyDescent="0.5">
      <c r="B136" s="149"/>
      <c r="E136" s="246"/>
      <c r="F136" s="246"/>
      <c r="G136" s="246"/>
      <c r="H136" s="246"/>
      <c r="I136" s="246"/>
      <c r="J136" s="246"/>
      <c r="K136" s="246"/>
      <c r="L136" s="246"/>
      <c r="M136" s="246"/>
    </row>
    <row r="137" spans="2:13" x14ac:dyDescent="0.5">
      <c r="B137" s="149"/>
      <c r="E137" s="246"/>
      <c r="F137" s="246"/>
      <c r="G137" s="246"/>
      <c r="H137" s="246"/>
      <c r="I137" s="246"/>
      <c r="J137" s="246"/>
      <c r="K137" s="246"/>
      <c r="L137" s="246"/>
      <c r="M137" s="246"/>
    </row>
    <row r="138" spans="2:13" x14ac:dyDescent="0.5">
      <c r="B138" s="149"/>
      <c r="E138" s="246"/>
      <c r="F138" s="246"/>
      <c r="G138" s="246"/>
      <c r="H138" s="246"/>
      <c r="I138" s="246"/>
      <c r="J138" s="246"/>
      <c r="K138" s="246"/>
      <c r="L138" s="246"/>
      <c r="M138" s="246"/>
    </row>
    <row r="139" spans="2:13" x14ac:dyDescent="0.5">
      <c r="B139" s="149"/>
      <c r="E139" s="246"/>
      <c r="F139" s="246"/>
      <c r="G139" s="246"/>
      <c r="H139" s="246"/>
      <c r="I139" s="246"/>
      <c r="J139" s="246"/>
      <c r="K139" s="246"/>
      <c r="L139" s="246"/>
      <c r="M139" s="246"/>
    </row>
    <row r="140" spans="2:13" x14ac:dyDescent="0.5">
      <c r="B140" s="149"/>
      <c r="E140" s="246"/>
      <c r="F140" s="246"/>
      <c r="G140" s="246"/>
      <c r="H140" s="246"/>
      <c r="I140" s="246"/>
      <c r="J140" s="246"/>
      <c r="K140" s="246"/>
      <c r="L140" s="246"/>
      <c r="M140" s="246"/>
    </row>
    <row r="141" spans="2:13" x14ac:dyDescent="0.5">
      <c r="B141" s="149"/>
      <c r="E141" s="246"/>
      <c r="F141" s="246"/>
      <c r="G141" s="246"/>
      <c r="H141" s="246"/>
      <c r="I141" s="246"/>
      <c r="J141" s="246"/>
      <c r="K141" s="246"/>
      <c r="L141" s="246"/>
      <c r="M141" s="246"/>
    </row>
    <row r="142" spans="2:13" x14ac:dyDescent="0.5">
      <c r="B142" s="149"/>
      <c r="E142" s="246"/>
      <c r="F142" s="246"/>
      <c r="G142" s="246"/>
      <c r="H142" s="246"/>
      <c r="I142" s="246"/>
      <c r="J142" s="246"/>
      <c r="K142" s="246"/>
      <c r="L142" s="246"/>
      <c r="M142" s="246"/>
    </row>
    <row r="143" spans="2:13" x14ac:dyDescent="0.5">
      <c r="B143" s="149"/>
      <c r="E143" s="246"/>
      <c r="F143" s="246"/>
      <c r="G143" s="246"/>
      <c r="H143" s="246"/>
      <c r="I143" s="246"/>
      <c r="J143" s="246"/>
      <c r="K143" s="246"/>
      <c r="L143" s="246"/>
      <c r="M143" s="246"/>
    </row>
    <row r="144" spans="2:13" x14ac:dyDescent="0.5">
      <c r="B144" s="149"/>
      <c r="E144" s="246"/>
      <c r="F144" s="246"/>
      <c r="G144" s="246"/>
      <c r="H144" s="246"/>
      <c r="I144" s="246"/>
      <c r="J144" s="246"/>
      <c r="K144" s="246"/>
      <c r="L144" s="246"/>
      <c r="M144" s="246"/>
    </row>
    <row r="145" spans="2:13" x14ac:dyDescent="0.5">
      <c r="B145" s="149"/>
      <c r="E145" s="246"/>
      <c r="F145" s="246"/>
      <c r="G145" s="246"/>
      <c r="H145" s="246"/>
      <c r="I145" s="246"/>
      <c r="J145" s="246"/>
      <c r="K145" s="246"/>
      <c r="L145" s="246"/>
      <c r="M145" s="246"/>
    </row>
    <row r="146" spans="2:13" x14ac:dyDescent="0.5">
      <c r="B146" s="149"/>
      <c r="E146" s="246"/>
      <c r="F146" s="246"/>
      <c r="G146" s="246"/>
      <c r="H146" s="246"/>
      <c r="I146" s="246"/>
      <c r="J146" s="246"/>
      <c r="K146" s="246"/>
      <c r="L146" s="246"/>
      <c r="M146" s="246"/>
    </row>
    <row r="147" spans="2:13" x14ac:dyDescent="0.5">
      <c r="B147" s="149"/>
      <c r="E147" s="246"/>
      <c r="F147" s="246"/>
      <c r="G147" s="246"/>
      <c r="H147" s="246"/>
      <c r="I147" s="246"/>
      <c r="J147" s="246"/>
      <c r="K147" s="246"/>
      <c r="L147" s="246"/>
      <c r="M147" s="246"/>
    </row>
    <row r="148" spans="2:13" x14ac:dyDescent="0.5">
      <c r="B148" s="149"/>
      <c r="E148" s="246"/>
      <c r="F148" s="246"/>
      <c r="G148" s="246"/>
      <c r="H148" s="246"/>
      <c r="I148" s="246"/>
      <c r="J148" s="246"/>
      <c r="K148" s="246"/>
      <c r="L148" s="246"/>
      <c r="M148" s="246"/>
    </row>
    <row r="149" spans="2:13" x14ac:dyDescent="0.5">
      <c r="B149" s="149"/>
      <c r="E149" s="246"/>
      <c r="F149" s="246"/>
      <c r="G149" s="246"/>
      <c r="H149" s="246"/>
      <c r="I149" s="246"/>
      <c r="J149" s="246"/>
      <c r="K149" s="246"/>
      <c r="L149" s="246"/>
      <c r="M149" s="246"/>
    </row>
    <row r="150" spans="2:13" x14ac:dyDescent="0.5">
      <c r="B150" s="149"/>
      <c r="E150" s="246"/>
      <c r="F150" s="246"/>
      <c r="G150" s="246"/>
      <c r="H150" s="246"/>
      <c r="I150" s="246"/>
      <c r="J150" s="246"/>
      <c r="K150" s="246"/>
      <c r="L150" s="246"/>
      <c r="M150" s="246"/>
    </row>
    <row r="151" spans="2:13" x14ac:dyDescent="0.5">
      <c r="B151" s="149"/>
      <c r="E151" s="246"/>
      <c r="F151" s="246"/>
      <c r="G151" s="246"/>
      <c r="H151" s="246"/>
      <c r="I151" s="246"/>
      <c r="J151" s="246"/>
      <c r="K151" s="246"/>
      <c r="L151" s="246"/>
      <c r="M151" s="246"/>
    </row>
    <row r="152" spans="2:13" x14ac:dyDescent="0.5">
      <c r="B152" s="149"/>
      <c r="E152" s="246"/>
      <c r="F152" s="246"/>
      <c r="G152" s="246"/>
      <c r="H152" s="246"/>
      <c r="I152" s="246"/>
      <c r="J152" s="246"/>
      <c r="K152" s="246"/>
      <c r="L152" s="246"/>
      <c r="M152" s="246"/>
    </row>
    <row r="153" spans="2:13" x14ac:dyDescent="0.5">
      <c r="B153" s="149"/>
      <c r="E153" s="246"/>
      <c r="F153" s="246"/>
      <c r="G153" s="246"/>
      <c r="H153" s="246"/>
      <c r="I153" s="246"/>
      <c r="J153" s="246"/>
      <c r="K153" s="246"/>
      <c r="L153" s="246"/>
      <c r="M153" s="246"/>
    </row>
    <row r="154" spans="2:13" x14ac:dyDescent="0.5">
      <c r="B154" s="149"/>
      <c r="E154" s="246"/>
      <c r="F154" s="246"/>
      <c r="G154" s="246"/>
      <c r="H154" s="246"/>
      <c r="I154" s="246"/>
      <c r="J154" s="246"/>
      <c r="K154" s="246"/>
      <c r="L154" s="246"/>
      <c r="M154" s="246"/>
    </row>
    <row r="155" spans="2:13" x14ac:dyDescent="0.5">
      <c r="B155" s="149"/>
      <c r="E155" s="246"/>
      <c r="F155" s="246"/>
      <c r="G155" s="246"/>
      <c r="H155" s="246"/>
      <c r="I155" s="246"/>
      <c r="J155" s="246"/>
      <c r="K155" s="246"/>
      <c r="L155" s="246"/>
      <c r="M155" s="246"/>
    </row>
    <row r="156" spans="2:13" x14ac:dyDescent="0.5">
      <c r="B156" s="149"/>
      <c r="E156" s="246"/>
      <c r="F156" s="246"/>
      <c r="G156" s="246"/>
      <c r="H156" s="246"/>
      <c r="I156" s="246"/>
      <c r="J156" s="246"/>
      <c r="K156" s="246"/>
      <c r="L156" s="246"/>
      <c r="M156" s="246"/>
    </row>
    <row r="157" spans="2:13" x14ac:dyDescent="0.5">
      <c r="B157" s="149"/>
      <c r="E157" s="246"/>
      <c r="F157" s="246"/>
      <c r="G157" s="246"/>
      <c r="H157" s="246"/>
      <c r="I157" s="246"/>
      <c r="J157" s="246"/>
      <c r="K157" s="246"/>
      <c r="L157" s="246"/>
      <c r="M157" s="246"/>
    </row>
    <row r="158" spans="2:13" x14ac:dyDescent="0.5">
      <c r="B158" s="149"/>
      <c r="E158" s="246"/>
      <c r="F158" s="246"/>
      <c r="G158" s="246"/>
      <c r="H158" s="246"/>
      <c r="I158" s="246"/>
      <c r="J158" s="246"/>
      <c r="K158" s="246"/>
      <c r="L158" s="246"/>
      <c r="M158" s="246"/>
    </row>
    <row r="159" spans="2:13" x14ac:dyDescent="0.5">
      <c r="B159" s="149"/>
      <c r="E159" s="246"/>
      <c r="F159" s="246"/>
      <c r="G159" s="246"/>
      <c r="H159" s="246"/>
      <c r="I159" s="246"/>
      <c r="J159" s="246"/>
      <c r="K159" s="246"/>
      <c r="L159" s="246"/>
      <c r="M159" s="246"/>
    </row>
    <row r="160" spans="2:13" x14ac:dyDescent="0.5">
      <c r="B160" s="149"/>
      <c r="E160" s="246"/>
      <c r="F160" s="246"/>
      <c r="G160" s="246"/>
      <c r="H160" s="246"/>
      <c r="I160" s="246"/>
      <c r="J160" s="246"/>
      <c r="K160" s="246"/>
      <c r="L160" s="246"/>
      <c r="M160" s="246"/>
    </row>
    <row r="161" spans="2:13" x14ac:dyDescent="0.5">
      <c r="B161" s="149"/>
      <c r="E161" s="246"/>
      <c r="F161" s="246"/>
      <c r="G161" s="246"/>
      <c r="H161" s="246"/>
      <c r="I161" s="246"/>
      <c r="J161" s="246"/>
      <c r="K161" s="246"/>
      <c r="L161" s="246"/>
      <c r="M161" s="246"/>
    </row>
    <row r="162" spans="2:13" x14ac:dyDescent="0.5">
      <c r="B162" s="149"/>
      <c r="E162" s="246"/>
      <c r="F162" s="246"/>
      <c r="G162" s="246"/>
      <c r="H162" s="246"/>
      <c r="I162" s="246"/>
      <c r="J162" s="246"/>
      <c r="K162" s="246"/>
      <c r="L162" s="246"/>
      <c r="M162" s="246"/>
    </row>
    <row r="163" spans="2:13" x14ac:dyDescent="0.5">
      <c r="B163" s="149"/>
      <c r="E163" s="246"/>
      <c r="F163" s="246"/>
      <c r="G163" s="246"/>
      <c r="H163" s="246"/>
      <c r="I163" s="246"/>
      <c r="J163" s="246"/>
      <c r="K163" s="246"/>
      <c r="L163" s="246"/>
      <c r="M163" s="246"/>
    </row>
    <row r="164" spans="2:13" x14ac:dyDescent="0.5">
      <c r="B164" s="149"/>
      <c r="E164" s="246"/>
      <c r="F164" s="246"/>
      <c r="G164" s="246"/>
      <c r="H164" s="246"/>
      <c r="I164" s="246"/>
      <c r="J164" s="246"/>
      <c r="K164" s="246"/>
      <c r="L164" s="246"/>
      <c r="M164" s="246"/>
    </row>
    <row r="165" spans="2:13" x14ac:dyDescent="0.5">
      <c r="B165" s="149"/>
      <c r="E165" s="246"/>
      <c r="F165" s="246"/>
      <c r="G165" s="246"/>
      <c r="H165" s="246"/>
      <c r="I165" s="246"/>
      <c r="J165" s="246"/>
      <c r="K165" s="246"/>
      <c r="L165" s="246"/>
      <c r="M165" s="246"/>
    </row>
    <row r="166" spans="2:13" x14ac:dyDescent="0.5">
      <c r="B166" s="149"/>
      <c r="E166" s="246"/>
      <c r="F166" s="246"/>
      <c r="G166" s="246"/>
      <c r="H166" s="246"/>
      <c r="I166" s="246"/>
      <c r="J166" s="246"/>
      <c r="K166" s="246"/>
      <c r="L166" s="246"/>
      <c r="M166" s="246"/>
    </row>
    <row r="167" spans="2:13" x14ac:dyDescent="0.5">
      <c r="B167" s="149"/>
      <c r="E167" s="246"/>
      <c r="F167" s="246"/>
      <c r="G167" s="246"/>
      <c r="H167" s="246"/>
      <c r="I167" s="246"/>
      <c r="J167" s="246"/>
      <c r="K167" s="246"/>
      <c r="L167" s="246"/>
      <c r="M167" s="246"/>
    </row>
    <row r="168" spans="2:13" x14ac:dyDescent="0.5">
      <c r="B168" s="149"/>
      <c r="E168" s="246"/>
      <c r="F168" s="246"/>
      <c r="G168" s="246"/>
      <c r="H168" s="246"/>
      <c r="I168" s="246"/>
      <c r="J168" s="246"/>
      <c r="K168" s="246"/>
      <c r="L168" s="246"/>
      <c r="M168" s="246"/>
    </row>
    <row r="169" spans="2:13" x14ac:dyDescent="0.5">
      <c r="B169" s="149"/>
      <c r="E169" s="246"/>
      <c r="F169" s="246"/>
      <c r="G169" s="246"/>
      <c r="H169" s="246"/>
      <c r="I169" s="246"/>
      <c r="J169" s="246"/>
      <c r="K169" s="246"/>
      <c r="L169" s="246"/>
      <c r="M169" s="246"/>
    </row>
    <row r="170" spans="2:13" x14ac:dyDescent="0.5">
      <c r="B170" s="149"/>
      <c r="E170" s="246"/>
      <c r="F170" s="246"/>
      <c r="G170" s="246"/>
      <c r="H170" s="246"/>
      <c r="I170" s="246"/>
      <c r="J170" s="246"/>
      <c r="K170" s="246"/>
      <c r="L170" s="246"/>
      <c r="M170" s="246"/>
    </row>
    <row r="171" spans="2:13" x14ac:dyDescent="0.5">
      <c r="B171" s="149"/>
      <c r="E171" s="246"/>
      <c r="F171" s="246"/>
      <c r="G171" s="246"/>
      <c r="H171" s="246"/>
      <c r="I171" s="246"/>
      <c r="J171" s="246"/>
      <c r="K171" s="246"/>
      <c r="L171" s="246"/>
      <c r="M171" s="246"/>
    </row>
    <row r="172" spans="2:13" x14ac:dyDescent="0.5">
      <c r="B172" s="149"/>
      <c r="E172" s="246"/>
      <c r="F172" s="246"/>
      <c r="G172" s="246"/>
      <c r="H172" s="246"/>
      <c r="I172" s="246"/>
      <c r="J172" s="246"/>
      <c r="K172" s="246"/>
      <c r="L172" s="246"/>
      <c r="M172" s="246"/>
    </row>
    <row r="173" spans="2:13" x14ac:dyDescent="0.5">
      <c r="B173" s="149"/>
      <c r="E173" s="246"/>
      <c r="F173" s="246"/>
      <c r="G173" s="246"/>
      <c r="H173" s="246"/>
      <c r="I173" s="246"/>
      <c r="J173" s="246"/>
      <c r="K173" s="246"/>
      <c r="L173" s="246"/>
      <c r="M173" s="246"/>
    </row>
    <row r="174" spans="2:13" x14ac:dyDescent="0.5">
      <c r="B174" s="149"/>
      <c r="E174" s="246"/>
      <c r="F174" s="246"/>
      <c r="G174" s="246"/>
      <c r="H174" s="246"/>
      <c r="I174" s="246"/>
      <c r="J174" s="246"/>
      <c r="K174" s="246"/>
      <c r="L174" s="246"/>
      <c r="M174" s="246"/>
    </row>
    <row r="175" spans="2:13" x14ac:dyDescent="0.5">
      <c r="B175" s="149"/>
      <c r="E175" s="246"/>
      <c r="F175" s="246"/>
      <c r="G175" s="246"/>
      <c r="H175" s="246"/>
      <c r="I175" s="246"/>
      <c r="J175" s="246"/>
      <c r="K175" s="246"/>
      <c r="L175" s="246"/>
      <c r="M175" s="246"/>
    </row>
    <row r="176" spans="2:13" x14ac:dyDescent="0.5">
      <c r="B176" s="149"/>
      <c r="E176" s="246"/>
      <c r="F176" s="246"/>
      <c r="G176" s="246"/>
      <c r="H176" s="246"/>
      <c r="I176" s="246"/>
      <c r="J176" s="246"/>
      <c r="K176" s="246"/>
      <c r="L176" s="246"/>
      <c r="M176" s="246"/>
    </row>
    <row r="177" spans="2:13" x14ac:dyDescent="0.5">
      <c r="B177" s="149"/>
      <c r="E177" s="246"/>
      <c r="F177" s="246"/>
      <c r="G177" s="246"/>
      <c r="H177" s="246"/>
      <c r="I177" s="246"/>
      <c r="J177" s="246"/>
      <c r="K177" s="246"/>
      <c r="L177" s="246"/>
      <c r="M177" s="246"/>
    </row>
    <row r="178" spans="2:13" x14ac:dyDescent="0.5">
      <c r="B178" s="149"/>
      <c r="E178" s="246"/>
      <c r="F178" s="246"/>
      <c r="G178" s="246"/>
      <c r="H178" s="246"/>
      <c r="I178" s="246"/>
      <c r="J178" s="246"/>
      <c r="K178" s="246"/>
      <c r="L178" s="246"/>
      <c r="M178" s="246"/>
    </row>
    <row r="179" spans="2:13" x14ac:dyDescent="0.5">
      <c r="B179" s="149"/>
      <c r="E179" s="246"/>
      <c r="F179" s="246"/>
      <c r="G179" s="246"/>
      <c r="H179" s="246"/>
      <c r="I179" s="246"/>
      <c r="J179" s="246"/>
      <c r="K179" s="246"/>
      <c r="L179" s="246"/>
      <c r="M179" s="246"/>
    </row>
    <row r="180" spans="2:13" x14ac:dyDescent="0.5">
      <c r="B180" s="149"/>
      <c r="E180" s="247"/>
      <c r="F180" s="247"/>
      <c r="G180" s="247"/>
      <c r="H180" s="247"/>
      <c r="I180" s="247"/>
      <c r="J180" s="247"/>
      <c r="K180" s="247"/>
      <c r="L180" s="247"/>
      <c r="M180" s="247"/>
    </row>
    <row r="181" spans="2:13" x14ac:dyDescent="0.5">
      <c r="B181" s="149"/>
      <c r="E181" s="247"/>
      <c r="F181" s="247"/>
      <c r="G181" s="247"/>
      <c r="H181" s="247"/>
      <c r="I181" s="247"/>
      <c r="J181" s="247"/>
      <c r="K181" s="247"/>
      <c r="L181" s="247"/>
      <c r="M181" s="247"/>
    </row>
    <row r="182" spans="2:13" x14ac:dyDescent="0.5">
      <c r="B182" s="149"/>
      <c r="E182" s="247"/>
      <c r="F182" s="247"/>
      <c r="G182" s="247"/>
      <c r="H182" s="247"/>
      <c r="I182" s="247"/>
      <c r="J182" s="247"/>
      <c r="K182" s="247"/>
      <c r="L182" s="247"/>
      <c r="M182" s="247"/>
    </row>
    <row r="183" spans="2:13" x14ac:dyDescent="0.5">
      <c r="B183" s="149"/>
      <c r="E183" s="247"/>
      <c r="F183" s="247"/>
      <c r="G183" s="247"/>
      <c r="H183" s="247"/>
      <c r="I183" s="247"/>
      <c r="J183" s="247"/>
      <c r="K183" s="247"/>
      <c r="L183" s="247"/>
      <c r="M183" s="247"/>
    </row>
    <row r="184" spans="2:13" x14ac:dyDescent="0.5">
      <c r="B184" s="149"/>
      <c r="E184" s="247"/>
      <c r="F184" s="247"/>
      <c r="G184" s="247"/>
      <c r="H184" s="247"/>
      <c r="I184" s="247"/>
      <c r="J184" s="247"/>
      <c r="K184" s="247"/>
      <c r="L184" s="247"/>
      <c r="M184" s="247"/>
    </row>
    <row r="185" spans="2:13" x14ac:dyDescent="0.5">
      <c r="B185" s="149"/>
      <c r="E185" s="247"/>
      <c r="F185" s="247"/>
      <c r="G185" s="247"/>
      <c r="H185" s="247"/>
      <c r="I185" s="247"/>
      <c r="J185" s="247"/>
      <c r="K185" s="247"/>
      <c r="L185" s="247"/>
      <c r="M185" s="247"/>
    </row>
    <row r="186" spans="2:13" x14ac:dyDescent="0.5">
      <c r="B186" s="149"/>
      <c r="E186" s="247"/>
      <c r="F186" s="247"/>
      <c r="G186" s="247"/>
      <c r="H186" s="247"/>
      <c r="I186" s="247"/>
      <c r="J186" s="247"/>
      <c r="K186" s="247"/>
      <c r="L186" s="247"/>
      <c r="M186" s="247"/>
    </row>
    <row r="187" spans="2:13" x14ac:dyDescent="0.5">
      <c r="B187" s="149"/>
      <c r="E187" s="247"/>
      <c r="F187" s="247"/>
      <c r="G187" s="247"/>
      <c r="H187" s="247"/>
      <c r="I187" s="247"/>
      <c r="J187" s="247"/>
      <c r="K187" s="247"/>
      <c r="L187" s="247"/>
      <c r="M187" s="247"/>
    </row>
    <row r="188" spans="2:13" x14ac:dyDescent="0.5">
      <c r="B188" s="149"/>
      <c r="E188" s="247"/>
      <c r="F188" s="247"/>
      <c r="G188" s="247"/>
      <c r="H188" s="247"/>
      <c r="I188" s="247"/>
      <c r="J188" s="247"/>
      <c r="K188" s="247"/>
      <c r="L188" s="247"/>
      <c r="M188" s="247"/>
    </row>
    <row r="189" spans="2:13" x14ac:dyDescent="0.5">
      <c r="B189" s="149"/>
      <c r="E189" s="247"/>
      <c r="F189" s="247"/>
      <c r="G189" s="247"/>
      <c r="H189" s="247"/>
      <c r="I189" s="247"/>
      <c r="J189" s="247"/>
      <c r="K189" s="247"/>
      <c r="L189" s="247"/>
      <c r="M189" s="247"/>
    </row>
    <row r="190" spans="2:13" x14ac:dyDescent="0.5">
      <c r="B190" s="149"/>
      <c r="E190" s="247"/>
      <c r="F190" s="247"/>
      <c r="G190" s="247"/>
      <c r="H190" s="247"/>
      <c r="I190" s="247"/>
      <c r="J190" s="247"/>
      <c r="K190" s="247"/>
      <c r="L190" s="247"/>
      <c r="M190" s="247"/>
    </row>
    <row r="191" spans="2:13" x14ac:dyDescent="0.5">
      <c r="B191" s="149"/>
      <c r="E191" s="247"/>
      <c r="F191" s="247"/>
      <c r="G191" s="247"/>
      <c r="H191" s="247"/>
      <c r="I191" s="247"/>
      <c r="J191" s="247"/>
      <c r="K191" s="247"/>
      <c r="L191" s="247"/>
      <c r="M191" s="247"/>
    </row>
    <row r="192" spans="2:13" x14ac:dyDescent="0.5">
      <c r="B192" s="149"/>
      <c r="E192" s="247"/>
      <c r="F192" s="247"/>
      <c r="G192" s="247"/>
      <c r="H192" s="247"/>
      <c r="I192" s="247"/>
      <c r="J192" s="247"/>
      <c r="K192" s="247"/>
      <c r="L192" s="247"/>
      <c r="M192" s="247"/>
    </row>
    <row r="193" spans="2:13" x14ac:dyDescent="0.5">
      <c r="B193" s="149"/>
      <c r="E193" s="247"/>
      <c r="F193" s="247"/>
      <c r="G193" s="247"/>
      <c r="H193" s="247"/>
      <c r="I193" s="247"/>
      <c r="J193" s="247"/>
      <c r="K193" s="247"/>
      <c r="L193" s="247"/>
      <c r="M193" s="247"/>
    </row>
    <row r="194" spans="2:13" x14ac:dyDescent="0.5">
      <c r="B194" s="149"/>
      <c r="E194" s="247"/>
      <c r="F194" s="247"/>
      <c r="G194" s="247"/>
      <c r="H194" s="247"/>
      <c r="I194" s="247"/>
      <c r="J194" s="247"/>
      <c r="K194" s="247"/>
      <c r="L194" s="247"/>
      <c r="M194" s="247"/>
    </row>
    <row r="195" spans="2:13" x14ac:dyDescent="0.5">
      <c r="B195" s="149"/>
      <c r="E195" s="247"/>
      <c r="F195" s="247"/>
      <c r="G195" s="247"/>
      <c r="H195" s="247"/>
      <c r="I195" s="247"/>
      <c r="J195" s="247"/>
      <c r="K195" s="247"/>
      <c r="L195" s="247"/>
      <c r="M195" s="247"/>
    </row>
    <row r="196" spans="2:13" x14ac:dyDescent="0.5">
      <c r="B196" s="149"/>
      <c r="E196" s="247"/>
      <c r="F196" s="247"/>
      <c r="G196" s="247"/>
      <c r="H196" s="247"/>
      <c r="I196" s="247"/>
      <c r="J196" s="247"/>
      <c r="K196" s="247"/>
      <c r="L196" s="247"/>
      <c r="M196" s="247"/>
    </row>
    <row r="197" spans="2:13" x14ac:dyDescent="0.5">
      <c r="B197" s="149"/>
      <c r="E197" s="247"/>
      <c r="F197" s="247"/>
      <c r="G197" s="247"/>
      <c r="H197" s="247"/>
      <c r="I197" s="247"/>
      <c r="J197" s="247"/>
      <c r="K197" s="247"/>
      <c r="L197" s="247"/>
      <c r="M197" s="247"/>
    </row>
    <row r="198" spans="2:13" x14ac:dyDescent="0.5">
      <c r="B198" s="149"/>
      <c r="E198" s="247"/>
      <c r="F198" s="247"/>
      <c r="G198" s="247"/>
      <c r="H198" s="247"/>
      <c r="I198" s="247"/>
      <c r="J198" s="247"/>
      <c r="K198" s="247"/>
      <c r="L198" s="247"/>
      <c r="M198" s="247"/>
    </row>
    <row r="199" spans="2:13" x14ac:dyDescent="0.5">
      <c r="B199" s="149"/>
      <c r="E199" s="247"/>
      <c r="F199" s="247"/>
      <c r="G199" s="247"/>
      <c r="H199" s="247"/>
      <c r="I199" s="247"/>
      <c r="J199" s="247"/>
      <c r="K199" s="247"/>
      <c r="L199" s="247"/>
      <c r="M199" s="247"/>
    </row>
    <row r="200" spans="2:13" x14ac:dyDescent="0.5">
      <c r="B200" s="149"/>
      <c r="E200" s="247"/>
      <c r="F200" s="247"/>
      <c r="G200" s="247"/>
      <c r="H200" s="247"/>
      <c r="I200" s="247"/>
      <c r="J200" s="247"/>
      <c r="K200" s="247"/>
      <c r="L200" s="247"/>
      <c r="M200" s="247"/>
    </row>
    <row r="201" spans="2:13" x14ac:dyDescent="0.5">
      <c r="B201" s="149"/>
      <c r="E201" s="247"/>
      <c r="F201" s="247"/>
      <c r="G201" s="247"/>
      <c r="H201" s="247"/>
      <c r="I201" s="247"/>
      <c r="J201" s="247"/>
      <c r="K201" s="247"/>
      <c r="L201" s="247"/>
      <c r="M201" s="247"/>
    </row>
    <row r="202" spans="2:13" x14ac:dyDescent="0.5">
      <c r="B202" s="149"/>
      <c r="E202" s="247"/>
      <c r="F202" s="247"/>
      <c r="G202" s="247"/>
      <c r="H202" s="247"/>
      <c r="I202" s="247"/>
      <c r="J202" s="247"/>
      <c r="K202" s="247"/>
      <c r="L202" s="247"/>
      <c r="M202" s="247"/>
    </row>
    <row r="203" spans="2:13" x14ac:dyDescent="0.5">
      <c r="B203" s="149"/>
      <c r="E203" s="247"/>
      <c r="F203" s="247"/>
      <c r="G203" s="247"/>
      <c r="H203" s="247"/>
      <c r="I203" s="247"/>
      <c r="J203" s="247"/>
      <c r="K203" s="247"/>
      <c r="L203" s="247"/>
      <c r="M203" s="247"/>
    </row>
    <row r="204" spans="2:13" x14ac:dyDescent="0.5">
      <c r="B204" s="149"/>
      <c r="E204" s="247"/>
      <c r="F204" s="247"/>
      <c r="G204" s="247"/>
      <c r="H204" s="247"/>
      <c r="I204" s="247"/>
      <c r="J204" s="247"/>
      <c r="K204" s="247"/>
      <c r="L204" s="247"/>
      <c r="M204" s="247"/>
    </row>
    <row r="205" spans="2:13" x14ac:dyDescent="0.5">
      <c r="B205" s="149"/>
      <c r="E205" s="247"/>
      <c r="F205" s="247"/>
      <c r="G205" s="247"/>
      <c r="H205" s="247"/>
      <c r="I205" s="247"/>
      <c r="J205" s="247"/>
      <c r="K205" s="247"/>
      <c r="L205" s="247"/>
      <c r="M205" s="247"/>
    </row>
    <row r="206" spans="2:13" x14ac:dyDescent="0.5">
      <c r="B206" s="149"/>
      <c r="E206" s="247"/>
      <c r="F206" s="247"/>
      <c r="G206" s="247"/>
      <c r="H206" s="247"/>
      <c r="I206" s="247"/>
      <c r="J206" s="247"/>
      <c r="K206" s="247"/>
      <c r="L206" s="247"/>
      <c r="M206" s="247"/>
    </row>
    <row r="207" spans="2:13" x14ac:dyDescent="0.5">
      <c r="B207" s="149"/>
      <c r="E207" s="247"/>
      <c r="F207" s="247"/>
      <c r="G207" s="247"/>
      <c r="H207" s="247"/>
      <c r="I207" s="247"/>
      <c r="J207" s="247"/>
      <c r="K207" s="247"/>
      <c r="L207" s="247"/>
      <c r="M207" s="247"/>
    </row>
    <row r="208" spans="2:13" x14ac:dyDescent="0.5">
      <c r="B208" s="149"/>
      <c r="E208" s="247"/>
      <c r="F208" s="247"/>
      <c r="G208" s="247"/>
      <c r="H208" s="247"/>
      <c r="I208" s="247"/>
      <c r="J208" s="247"/>
      <c r="K208" s="247"/>
      <c r="L208" s="247"/>
      <c r="M208" s="247"/>
    </row>
    <row r="209" spans="2:13" x14ac:dyDescent="0.5">
      <c r="B209" s="149"/>
      <c r="E209" s="247"/>
      <c r="F209" s="247"/>
      <c r="G209" s="247"/>
      <c r="H209" s="247"/>
      <c r="I209" s="247"/>
      <c r="J209" s="247"/>
      <c r="K209" s="247"/>
      <c r="L209" s="247"/>
      <c r="M209" s="247"/>
    </row>
    <row r="210" spans="2:13" x14ac:dyDescent="0.5">
      <c r="B210" s="149"/>
      <c r="E210" s="247"/>
      <c r="F210" s="247"/>
      <c r="G210" s="247"/>
      <c r="H210" s="247"/>
      <c r="I210" s="247"/>
      <c r="J210" s="247"/>
      <c r="K210" s="247"/>
      <c r="L210" s="247"/>
      <c r="M210" s="247"/>
    </row>
    <row r="211" spans="2:13" x14ac:dyDescent="0.5">
      <c r="B211" s="149"/>
      <c r="E211" s="247"/>
      <c r="F211" s="247"/>
      <c r="G211" s="247"/>
      <c r="H211" s="247"/>
      <c r="I211" s="247"/>
      <c r="J211" s="247"/>
      <c r="K211" s="247"/>
      <c r="L211" s="247"/>
      <c r="M211" s="247"/>
    </row>
    <row r="212" spans="2:13" x14ac:dyDescent="0.5">
      <c r="B212" s="149"/>
      <c r="E212" s="247"/>
      <c r="F212" s="247"/>
      <c r="G212" s="247"/>
      <c r="H212" s="247"/>
      <c r="I212" s="247"/>
      <c r="J212" s="247"/>
      <c r="K212" s="247"/>
      <c r="L212" s="247"/>
      <c r="M212" s="247"/>
    </row>
    <row r="213" spans="2:13" x14ac:dyDescent="0.5">
      <c r="B213" s="149"/>
      <c r="E213" s="247"/>
      <c r="F213" s="247"/>
      <c r="G213" s="247"/>
      <c r="H213" s="247"/>
      <c r="I213" s="247"/>
      <c r="J213" s="247"/>
      <c r="K213" s="247"/>
      <c r="L213" s="247"/>
      <c r="M213" s="247"/>
    </row>
    <row r="214" spans="2:13" x14ac:dyDescent="0.5">
      <c r="B214" s="149"/>
      <c r="E214" s="247"/>
      <c r="F214" s="247"/>
      <c r="G214" s="247"/>
      <c r="H214" s="247"/>
      <c r="I214" s="247"/>
      <c r="J214" s="247"/>
      <c r="K214" s="247"/>
      <c r="L214" s="247"/>
      <c r="M214" s="247"/>
    </row>
    <row r="215" spans="2:13" x14ac:dyDescent="0.5">
      <c r="B215" s="149"/>
      <c r="E215" s="247"/>
      <c r="F215" s="247"/>
      <c r="G215" s="247"/>
      <c r="H215" s="247"/>
      <c r="I215" s="247"/>
      <c r="J215" s="247"/>
      <c r="K215" s="247"/>
      <c r="L215" s="247"/>
      <c r="M215" s="247"/>
    </row>
    <row r="216" spans="2:13" x14ac:dyDescent="0.5">
      <c r="B216" s="149"/>
      <c r="E216" s="247"/>
      <c r="F216" s="247"/>
      <c r="G216" s="247"/>
      <c r="H216" s="247"/>
      <c r="I216" s="247"/>
      <c r="J216" s="247"/>
      <c r="K216" s="247"/>
      <c r="L216" s="247"/>
      <c r="M216" s="247"/>
    </row>
    <row r="217" spans="2:13" x14ac:dyDescent="0.5">
      <c r="B217" s="149"/>
      <c r="E217" s="247"/>
      <c r="F217" s="247"/>
      <c r="G217" s="247"/>
      <c r="H217" s="247"/>
      <c r="I217" s="247"/>
      <c r="J217" s="247"/>
      <c r="K217" s="247"/>
      <c r="L217" s="247"/>
      <c r="M217" s="247"/>
    </row>
    <row r="218" spans="2:13" x14ac:dyDescent="0.5">
      <c r="B218" s="149"/>
      <c r="E218" s="247"/>
      <c r="F218" s="247"/>
      <c r="G218" s="247"/>
      <c r="H218" s="247"/>
      <c r="I218" s="247"/>
      <c r="J218" s="247"/>
      <c r="K218" s="247"/>
      <c r="L218" s="247"/>
      <c r="M218" s="247"/>
    </row>
    <row r="219" spans="2:13" x14ac:dyDescent="0.5">
      <c r="B219" s="149"/>
      <c r="E219" s="247"/>
      <c r="F219" s="247"/>
      <c r="G219" s="247"/>
      <c r="H219" s="247"/>
      <c r="I219" s="247"/>
      <c r="J219" s="247"/>
      <c r="K219" s="247"/>
      <c r="L219" s="247"/>
      <c r="M219" s="247"/>
    </row>
    <row r="220" spans="2:13" x14ac:dyDescent="0.5">
      <c r="B220" s="149"/>
      <c r="E220" s="247"/>
      <c r="F220" s="247"/>
      <c r="G220" s="247"/>
      <c r="H220" s="247"/>
      <c r="I220" s="247"/>
      <c r="J220" s="247"/>
      <c r="K220" s="247"/>
      <c r="L220" s="247"/>
      <c r="M220" s="247"/>
    </row>
    <row r="221" spans="2:13" x14ac:dyDescent="0.5">
      <c r="B221" s="149"/>
      <c r="E221" s="247"/>
      <c r="F221" s="247"/>
      <c r="G221" s="247"/>
      <c r="H221" s="247"/>
      <c r="I221" s="247"/>
      <c r="J221" s="247"/>
      <c r="K221" s="247"/>
      <c r="L221" s="247"/>
      <c r="M221" s="247"/>
    </row>
    <row r="222" spans="2:13" x14ac:dyDescent="0.5">
      <c r="B222" s="149"/>
      <c r="E222" s="247"/>
      <c r="F222" s="247"/>
      <c r="G222" s="247"/>
      <c r="H222" s="247"/>
      <c r="I222" s="247"/>
      <c r="J222" s="247"/>
      <c r="K222" s="247"/>
      <c r="L222" s="247"/>
      <c r="M222" s="247"/>
    </row>
    <row r="223" spans="2:13" x14ac:dyDescent="0.5">
      <c r="B223" s="149"/>
      <c r="E223" s="247"/>
      <c r="F223" s="247"/>
      <c r="G223" s="247"/>
      <c r="H223" s="247"/>
      <c r="I223" s="247"/>
      <c r="J223" s="247"/>
      <c r="K223" s="247"/>
      <c r="L223" s="247"/>
      <c r="M223" s="247"/>
    </row>
    <row r="224" spans="2:13" x14ac:dyDescent="0.5">
      <c r="B224" s="149"/>
      <c r="E224" s="247"/>
      <c r="F224" s="247"/>
      <c r="G224" s="247"/>
      <c r="H224" s="247"/>
      <c r="I224" s="247"/>
      <c r="J224" s="247"/>
      <c r="K224" s="247"/>
      <c r="L224" s="247"/>
      <c r="M224" s="247"/>
    </row>
    <row r="225" spans="2:13" x14ac:dyDescent="0.5">
      <c r="B225" s="149"/>
      <c r="E225" s="247"/>
      <c r="F225" s="247"/>
      <c r="G225" s="247"/>
      <c r="H225" s="247"/>
      <c r="I225" s="247"/>
      <c r="J225" s="247"/>
      <c r="K225" s="247"/>
      <c r="L225" s="247"/>
      <c r="M225" s="247"/>
    </row>
    <row r="226" spans="2:13" x14ac:dyDescent="0.5">
      <c r="B226" s="149"/>
      <c r="E226" s="247"/>
      <c r="F226" s="247"/>
      <c r="G226" s="247"/>
      <c r="H226" s="247"/>
      <c r="I226" s="247"/>
      <c r="J226" s="247"/>
      <c r="K226" s="247"/>
      <c r="L226" s="247"/>
      <c r="M226" s="247"/>
    </row>
    <row r="227" spans="2:13" x14ac:dyDescent="0.5">
      <c r="B227" s="149"/>
      <c r="E227" s="247"/>
      <c r="F227" s="247"/>
      <c r="G227" s="247"/>
      <c r="H227" s="247"/>
      <c r="I227" s="247"/>
      <c r="J227" s="247"/>
      <c r="K227" s="247"/>
      <c r="L227" s="247"/>
      <c r="M227" s="247"/>
    </row>
    <row r="228" spans="2:13" x14ac:dyDescent="0.5">
      <c r="B228" s="149"/>
      <c r="E228" s="247"/>
      <c r="F228" s="247"/>
      <c r="G228" s="247"/>
      <c r="H228" s="247"/>
      <c r="I228" s="247"/>
      <c r="J228" s="247"/>
      <c r="K228" s="247"/>
      <c r="L228" s="247"/>
      <c r="M228" s="247"/>
    </row>
    <row r="229" spans="2:13" x14ac:dyDescent="0.5">
      <c r="B229" s="149"/>
      <c r="E229" s="247"/>
      <c r="F229" s="247"/>
      <c r="G229" s="247"/>
      <c r="H229" s="247"/>
      <c r="I229" s="247"/>
      <c r="J229" s="247"/>
      <c r="K229" s="247"/>
      <c r="L229" s="247"/>
      <c r="M229" s="247"/>
    </row>
    <row r="230" spans="2:13" x14ac:dyDescent="0.5">
      <c r="B230" s="149"/>
      <c r="E230" s="247"/>
      <c r="F230" s="247"/>
      <c r="G230" s="247"/>
      <c r="H230" s="247"/>
      <c r="I230" s="247"/>
      <c r="J230" s="247"/>
      <c r="K230" s="247"/>
      <c r="L230" s="247"/>
      <c r="M230" s="247"/>
    </row>
    <row r="231" spans="2:13" x14ac:dyDescent="0.5">
      <c r="B231" s="149"/>
      <c r="E231" s="247"/>
      <c r="F231" s="247"/>
      <c r="G231" s="247"/>
      <c r="H231" s="247"/>
      <c r="I231" s="247"/>
      <c r="J231" s="247"/>
      <c r="K231" s="247"/>
      <c r="L231" s="247"/>
      <c r="M231" s="247"/>
    </row>
    <row r="232" spans="2:13" x14ac:dyDescent="0.5">
      <c r="B232" s="149"/>
      <c r="E232" s="247"/>
      <c r="F232" s="247"/>
      <c r="G232" s="247"/>
      <c r="H232" s="247"/>
      <c r="I232" s="247"/>
      <c r="J232" s="247"/>
      <c r="K232" s="247"/>
      <c r="L232" s="247"/>
      <c r="M232" s="247"/>
    </row>
    <row r="233" spans="2:13" x14ac:dyDescent="0.5">
      <c r="B233" s="149"/>
      <c r="E233" s="247"/>
      <c r="F233" s="247"/>
      <c r="G233" s="247"/>
      <c r="H233" s="247"/>
      <c r="I233" s="247"/>
      <c r="J233" s="247"/>
      <c r="K233" s="247"/>
      <c r="L233" s="247"/>
      <c r="M233" s="247"/>
    </row>
    <row r="234" spans="2:13" x14ac:dyDescent="0.5">
      <c r="B234" s="149"/>
      <c r="E234" s="247"/>
      <c r="F234" s="247"/>
      <c r="G234" s="247"/>
      <c r="H234" s="247"/>
      <c r="I234" s="247"/>
      <c r="J234" s="247"/>
      <c r="K234" s="247"/>
      <c r="L234" s="247"/>
      <c r="M234" s="247"/>
    </row>
    <row r="235" spans="2:13" x14ac:dyDescent="0.5">
      <c r="B235" s="149"/>
      <c r="E235" s="247"/>
      <c r="F235" s="247"/>
      <c r="G235" s="247"/>
      <c r="H235" s="247"/>
      <c r="I235" s="247"/>
      <c r="J235" s="247"/>
      <c r="K235" s="247"/>
      <c r="L235" s="247"/>
      <c r="M235" s="247"/>
    </row>
    <row r="236" spans="2:13" x14ac:dyDescent="0.5">
      <c r="B236" s="149"/>
      <c r="E236" s="247"/>
      <c r="F236" s="247"/>
      <c r="G236" s="247"/>
      <c r="H236" s="247"/>
      <c r="I236" s="247"/>
      <c r="J236" s="247"/>
      <c r="K236" s="247"/>
      <c r="L236" s="247"/>
      <c r="M236" s="247"/>
    </row>
    <row r="237" spans="2:13" x14ac:dyDescent="0.5">
      <c r="B237" s="149"/>
      <c r="E237" s="247"/>
      <c r="F237" s="247"/>
      <c r="G237" s="247"/>
      <c r="H237" s="247"/>
      <c r="I237" s="247"/>
      <c r="J237" s="247"/>
      <c r="K237" s="247"/>
      <c r="L237" s="247"/>
      <c r="M237" s="247"/>
    </row>
    <row r="238" spans="2:13" x14ac:dyDescent="0.5">
      <c r="B238" s="149"/>
      <c r="E238" s="247"/>
      <c r="F238" s="247"/>
      <c r="G238" s="247"/>
      <c r="H238" s="247"/>
      <c r="I238" s="247"/>
      <c r="J238" s="247"/>
      <c r="K238" s="247"/>
      <c r="L238" s="247"/>
      <c r="M238" s="247"/>
    </row>
    <row r="239" spans="2:13" x14ac:dyDescent="0.5">
      <c r="B239" s="149"/>
      <c r="E239" s="247"/>
      <c r="F239" s="247"/>
      <c r="G239" s="247"/>
      <c r="H239" s="247"/>
      <c r="I239" s="247"/>
      <c r="J239" s="247"/>
      <c r="K239" s="247"/>
      <c r="L239" s="247"/>
      <c r="M239" s="247"/>
    </row>
    <row r="240" spans="2:13" x14ac:dyDescent="0.5">
      <c r="B240" s="149"/>
      <c r="E240" s="247"/>
      <c r="F240" s="247"/>
      <c r="G240" s="247"/>
      <c r="H240" s="247"/>
      <c r="I240" s="247"/>
      <c r="J240" s="247"/>
      <c r="K240" s="247"/>
      <c r="L240" s="247"/>
      <c r="M240" s="247"/>
    </row>
    <row r="241" spans="2:13" x14ac:dyDescent="0.5">
      <c r="B241" s="149"/>
      <c r="E241" s="247"/>
      <c r="F241" s="247"/>
      <c r="G241" s="247"/>
      <c r="H241" s="247"/>
      <c r="I241" s="247"/>
      <c r="J241" s="247"/>
      <c r="K241" s="247"/>
      <c r="L241" s="247"/>
      <c r="M241" s="247"/>
    </row>
    <row r="242" spans="2:13" x14ac:dyDescent="0.5">
      <c r="B242" s="149"/>
      <c r="E242" s="247"/>
      <c r="F242" s="247"/>
      <c r="G242" s="247"/>
      <c r="H242" s="247"/>
      <c r="I242" s="247"/>
      <c r="J242" s="247"/>
      <c r="K242" s="247"/>
      <c r="L242" s="247"/>
      <c r="M242" s="247"/>
    </row>
    <row r="243" spans="2:13" x14ac:dyDescent="0.5">
      <c r="B243" s="149"/>
      <c r="E243" s="247"/>
      <c r="F243" s="247"/>
      <c r="G243" s="247"/>
      <c r="H243" s="247"/>
      <c r="I243" s="247"/>
      <c r="J243" s="247"/>
      <c r="K243" s="247"/>
      <c r="L243" s="247"/>
      <c r="M243" s="247"/>
    </row>
    <row r="244" spans="2:13" x14ac:dyDescent="0.5">
      <c r="B244" s="149"/>
      <c r="E244" s="247"/>
      <c r="F244" s="247"/>
      <c r="G244" s="247"/>
      <c r="H244" s="247"/>
      <c r="I244" s="247"/>
      <c r="J244" s="247"/>
      <c r="K244" s="247"/>
      <c r="L244" s="247"/>
      <c r="M244" s="247"/>
    </row>
    <row r="245" spans="2:13" x14ac:dyDescent="0.5">
      <c r="B245" s="149"/>
      <c r="E245" s="247"/>
      <c r="F245" s="247"/>
      <c r="G245" s="247"/>
      <c r="H245" s="247"/>
      <c r="I245" s="247"/>
      <c r="J245" s="247"/>
      <c r="K245" s="247"/>
      <c r="L245" s="247"/>
      <c r="M245" s="247"/>
    </row>
    <row r="246" spans="2:13" x14ac:dyDescent="0.5">
      <c r="B246" s="149"/>
      <c r="E246" s="247"/>
      <c r="F246" s="247"/>
      <c r="G246" s="247"/>
      <c r="H246" s="247"/>
      <c r="I246" s="247"/>
      <c r="J246" s="247"/>
      <c r="K246" s="247"/>
      <c r="L246" s="247"/>
      <c r="M246" s="247"/>
    </row>
    <row r="247" spans="2:13" x14ac:dyDescent="0.5">
      <c r="B247" s="149"/>
      <c r="E247" s="247"/>
      <c r="F247" s="247"/>
      <c r="G247" s="247"/>
      <c r="H247" s="247"/>
      <c r="I247" s="247"/>
      <c r="J247" s="247"/>
      <c r="K247" s="247"/>
      <c r="L247" s="247"/>
      <c r="M247" s="247"/>
    </row>
    <row r="248" spans="2:13" x14ac:dyDescent="0.5">
      <c r="B248" s="149"/>
      <c r="E248" s="247"/>
      <c r="F248" s="247"/>
      <c r="G248" s="247"/>
      <c r="H248" s="247"/>
      <c r="I248" s="247"/>
      <c r="J248" s="247"/>
      <c r="K248" s="247"/>
      <c r="L248" s="247"/>
      <c r="M248" s="247"/>
    </row>
    <row r="249" spans="2:13" x14ac:dyDescent="0.5">
      <c r="B249" s="149"/>
      <c r="E249" s="247"/>
      <c r="F249" s="247"/>
      <c r="G249" s="247"/>
      <c r="H249" s="247"/>
      <c r="I249" s="247"/>
      <c r="J249" s="247"/>
      <c r="K249" s="247"/>
      <c r="L249" s="247"/>
      <c r="M249" s="247"/>
    </row>
    <row r="250" spans="2:13" x14ac:dyDescent="0.5">
      <c r="B250" s="149"/>
      <c r="E250" s="247"/>
      <c r="F250" s="247"/>
      <c r="G250" s="247"/>
      <c r="H250" s="247"/>
      <c r="I250" s="247"/>
      <c r="J250" s="247"/>
      <c r="K250" s="247"/>
      <c r="L250" s="247"/>
      <c r="M250" s="247"/>
    </row>
    <row r="251" spans="2:13" x14ac:dyDescent="0.5">
      <c r="B251" s="149"/>
      <c r="E251" s="247"/>
      <c r="F251" s="247"/>
      <c r="G251" s="247"/>
      <c r="H251" s="247"/>
      <c r="I251" s="247"/>
      <c r="J251" s="247"/>
      <c r="K251" s="247"/>
      <c r="L251" s="247"/>
      <c r="M251" s="247"/>
    </row>
    <row r="252" spans="2:13" x14ac:dyDescent="0.5">
      <c r="B252" s="149"/>
      <c r="E252" s="247"/>
      <c r="F252" s="247"/>
      <c r="G252" s="247"/>
      <c r="H252" s="247"/>
      <c r="I252" s="247"/>
      <c r="J252" s="247"/>
      <c r="K252" s="247"/>
      <c r="L252" s="247"/>
      <c r="M252" s="247"/>
    </row>
    <row r="253" spans="2:13" x14ac:dyDescent="0.5">
      <c r="B253" s="149"/>
      <c r="E253" s="247"/>
      <c r="F253" s="247"/>
      <c r="G253" s="247"/>
      <c r="H253" s="247"/>
      <c r="I253" s="247"/>
      <c r="J253" s="247"/>
      <c r="K253" s="247"/>
      <c r="L253" s="247"/>
      <c r="M253" s="247"/>
    </row>
    <row r="254" spans="2:13" x14ac:dyDescent="0.5">
      <c r="B254" s="149"/>
      <c r="E254" s="247"/>
      <c r="F254" s="247"/>
      <c r="G254" s="247"/>
      <c r="H254" s="247"/>
      <c r="I254" s="247"/>
      <c r="J254" s="247"/>
      <c r="K254" s="247"/>
      <c r="L254" s="247"/>
      <c r="M254" s="247"/>
    </row>
    <row r="255" spans="2:13" x14ac:dyDescent="0.5">
      <c r="B255" s="149"/>
      <c r="E255" s="247"/>
      <c r="F255" s="247"/>
      <c r="G255" s="247"/>
      <c r="H255" s="247"/>
      <c r="I255" s="247"/>
      <c r="J255" s="247"/>
      <c r="K255" s="247"/>
      <c r="L255" s="247"/>
      <c r="M255" s="247"/>
    </row>
    <row r="256" spans="2:13" x14ac:dyDescent="0.5">
      <c r="B256" s="149"/>
      <c r="E256" s="247"/>
      <c r="F256" s="247"/>
      <c r="G256" s="247"/>
      <c r="H256" s="247"/>
      <c r="I256" s="247"/>
      <c r="J256" s="247"/>
      <c r="K256" s="247"/>
      <c r="L256" s="247"/>
      <c r="M256" s="247"/>
    </row>
    <row r="257" spans="2:13" x14ac:dyDescent="0.5">
      <c r="B257" s="149"/>
      <c r="E257" s="247"/>
      <c r="F257" s="247"/>
      <c r="G257" s="247"/>
      <c r="H257" s="247"/>
      <c r="I257" s="247"/>
      <c r="J257" s="247"/>
      <c r="K257" s="247"/>
      <c r="L257" s="247"/>
      <c r="M257" s="247"/>
    </row>
    <row r="258" spans="2:13" x14ac:dyDescent="0.5">
      <c r="B258" s="149"/>
      <c r="E258" s="247"/>
      <c r="F258" s="247"/>
      <c r="G258" s="247"/>
      <c r="H258" s="247"/>
      <c r="I258" s="247"/>
      <c r="J258" s="247"/>
      <c r="K258" s="247"/>
      <c r="L258" s="247"/>
      <c r="M258" s="247"/>
    </row>
    <row r="259" spans="2:13" x14ac:dyDescent="0.5">
      <c r="B259" s="149"/>
      <c r="E259" s="247"/>
      <c r="F259" s="247"/>
      <c r="G259" s="247"/>
      <c r="H259" s="247"/>
      <c r="I259" s="247"/>
      <c r="J259" s="247"/>
      <c r="K259" s="247"/>
      <c r="L259" s="247"/>
      <c r="M259" s="247"/>
    </row>
    <row r="260" spans="2:13" x14ac:dyDescent="0.5">
      <c r="B260" s="149"/>
      <c r="E260" s="247"/>
      <c r="F260" s="247"/>
      <c r="G260" s="247"/>
      <c r="H260" s="247"/>
      <c r="I260" s="247"/>
      <c r="J260" s="247"/>
      <c r="K260" s="247"/>
      <c r="L260" s="247"/>
      <c r="M260" s="247"/>
    </row>
    <row r="261" spans="2:13" x14ac:dyDescent="0.5">
      <c r="B261" s="149"/>
      <c r="E261" s="247"/>
      <c r="F261" s="247"/>
      <c r="G261" s="247"/>
      <c r="H261" s="247"/>
      <c r="I261" s="247"/>
      <c r="J261" s="247"/>
      <c r="K261" s="247"/>
      <c r="L261" s="247"/>
      <c r="M261" s="247"/>
    </row>
    <row r="262" spans="2:13" x14ac:dyDescent="0.5">
      <c r="B262" s="149"/>
      <c r="E262" s="247"/>
      <c r="F262" s="247"/>
      <c r="G262" s="247"/>
      <c r="H262" s="247"/>
      <c r="I262" s="247"/>
      <c r="J262" s="247"/>
      <c r="K262" s="247"/>
      <c r="L262" s="247"/>
      <c r="M262" s="247"/>
    </row>
    <row r="263" spans="2:13" x14ac:dyDescent="0.5">
      <c r="B263" s="149"/>
      <c r="E263" s="247"/>
      <c r="F263" s="247"/>
      <c r="G263" s="247"/>
      <c r="H263" s="247"/>
      <c r="I263" s="247"/>
      <c r="J263" s="247"/>
      <c r="K263" s="247"/>
      <c r="L263" s="247"/>
      <c r="M263" s="247"/>
    </row>
    <row r="264" spans="2:13" x14ac:dyDescent="0.5">
      <c r="B264" s="149"/>
      <c r="E264" s="247"/>
      <c r="F264" s="247"/>
      <c r="G264" s="247"/>
      <c r="H264" s="247"/>
      <c r="I264" s="247"/>
      <c r="J264" s="247"/>
      <c r="K264" s="247"/>
      <c r="L264" s="247"/>
      <c r="M264" s="247"/>
    </row>
    <row r="265" spans="2:13" x14ac:dyDescent="0.5">
      <c r="B265" s="149"/>
      <c r="E265" s="247"/>
      <c r="F265" s="247"/>
      <c r="G265" s="247"/>
      <c r="H265" s="247"/>
      <c r="I265" s="247"/>
      <c r="J265" s="247"/>
      <c r="K265" s="247"/>
      <c r="L265" s="247"/>
      <c r="M265" s="247"/>
    </row>
    <row r="266" spans="2:13" x14ac:dyDescent="0.5">
      <c r="B266" s="149"/>
      <c r="E266" s="247"/>
      <c r="F266" s="247"/>
      <c r="G266" s="247"/>
      <c r="H266" s="247"/>
      <c r="I266" s="247"/>
      <c r="J266" s="247"/>
      <c r="K266" s="247"/>
      <c r="L266" s="247"/>
      <c r="M266" s="247"/>
    </row>
    <row r="267" spans="2:13" x14ac:dyDescent="0.5">
      <c r="B267" s="149"/>
      <c r="E267" s="247"/>
      <c r="F267" s="247"/>
      <c r="G267" s="247"/>
      <c r="H267" s="247"/>
      <c r="I267" s="247"/>
      <c r="J267" s="247"/>
      <c r="K267" s="247"/>
      <c r="L267" s="247"/>
      <c r="M267" s="247"/>
    </row>
    <row r="268" spans="2:13" x14ac:dyDescent="0.5">
      <c r="B268" s="149"/>
      <c r="E268" s="247"/>
      <c r="F268" s="247"/>
      <c r="G268" s="247"/>
      <c r="H268" s="247"/>
      <c r="I268" s="247"/>
      <c r="J268" s="247"/>
      <c r="K268" s="247"/>
      <c r="L268" s="247"/>
      <c r="M268" s="247"/>
    </row>
    <row r="269" spans="2:13" x14ac:dyDescent="0.5">
      <c r="B269" s="149"/>
      <c r="E269" s="247"/>
      <c r="F269" s="247"/>
      <c r="G269" s="247"/>
      <c r="H269" s="247"/>
      <c r="I269" s="247"/>
      <c r="J269" s="247"/>
      <c r="K269" s="247"/>
      <c r="L269" s="247"/>
      <c r="M269" s="247"/>
    </row>
    <row r="270" spans="2:13" x14ac:dyDescent="0.5">
      <c r="B270" s="149"/>
      <c r="E270" s="247"/>
      <c r="F270" s="247"/>
      <c r="G270" s="247"/>
      <c r="H270" s="247"/>
      <c r="I270" s="247"/>
      <c r="J270" s="247"/>
      <c r="K270" s="247"/>
      <c r="L270" s="247"/>
      <c r="M270" s="247"/>
    </row>
    <row r="271" spans="2:13" x14ac:dyDescent="0.5">
      <c r="B271" s="149"/>
      <c r="E271" s="247"/>
      <c r="F271" s="247"/>
      <c r="G271" s="247"/>
      <c r="H271" s="247"/>
      <c r="I271" s="247"/>
      <c r="J271" s="247"/>
      <c r="K271" s="247"/>
      <c r="L271" s="247"/>
      <c r="M271" s="247"/>
    </row>
    <row r="272" spans="2:13" x14ac:dyDescent="0.5">
      <c r="B272" s="149"/>
      <c r="E272" s="247"/>
      <c r="F272" s="247"/>
      <c r="G272" s="247"/>
      <c r="H272" s="247"/>
      <c r="I272" s="247"/>
      <c r="J272" s="247"/>
      <c r="K272" s="247"/>
      <c r="L272" s="247"/>
      <c r="M272" s="247"/>
    </row>
    <row r="273" spans="2:13" x14ac:dyDescent="0.5">
      <c r="B273" s="149"/>
      <c r="E273" s="247"/>
      <c r="F273" s="247"/>
      <c r="G273" s="247"/>
      <c r="H273" s="247"/>
      <c r="I273" s="247"/>
      <c r="J273" s="247"/>
      <c r="K273" s="247"/>
      <c r="L273" s="247"/>
      <c r="M273" s="247"/>
    </row>
    <row r="274" spans="2:13" x14ac:dyDescent="0.5">
      <c r="B274" s="149"/>
      <c r="E274" s="247"/>
      <c r="F274" s="247"/>
      <c r="G274" s="247"/>
      <c r="H274" s="247"/>
      <c r="I274" s="247"/>
      <c r="J274" s="247"/>
      <c r="K274" s="247"/>
      <c r="L274" s="247"/>
      <c r="M274" s="247"/>
    </row>
    <row r="275" spans="2:13" x14ac:dyDescent="0.5">
      <c r="B275" s="149"/>
      <c r="E275" s="247"/>
      <c r="F275" s="247"/>
      <c r="G275" s="247"/>
      <c r="H275" s="247"/>
      <c r="I275" s="247"/>
      <c r="J275" s="247"/>
      <c r="K275" s="247"/>
      <c r="L275" s="247"/>
      <c r="M275" s="247"/>
    </row>
    <row r="276" spans="2:13" x14ac:dyDescent="0.5">
      <c r="B276" s="149"/>
      <c r="E276" s="247"/>
      <c r="F276" s="247"/>
      <c r="G276" s="247"/>
      <c r="H276" s="247"/>
      <c r="I276" s="247"/>
      <c r="J276" s="247"/>
      <c r="K276" s="247"/>
      <c r="L276" s="247"/>
      <c r="M276" s="247"/>
    </row>
    <row r="277" spans="2:13" x14ac:dyDescent="0.5">
      <c r="B277" s="149"/>
      <c r="E277" s="247"/>
      <c r="F277" s="247"/>
      <c r="G277" s="247"/>
      <c r="H277" s="247"/>
      <c r="I277" s="247"/>
      <c r="J277" s="247"/>
      <c r="K277" s="247"/>
      <c r="L277" s="247"/>
      <c r="M277" s="247"/>
    </row>
    <row r="278" spans="2:13" x14ac:dyDescent="0.5">
      <c r="B278" s="149"/>
      <c r="E278" s="247"/>
      <c r="F278" s="247"/>
      <c r="G278" s="247"/>
      <c r="H278" s="247"/>
      <c r="I278" s="247"/>
      <c r="J278" s="247"/>
      <c r="K278" s="247"/>
      <c r="L278" s="247"/>
      <c r="M278" s="247"/>
    </row>
    <row r="279" spans="2:13" x14ac:dyDescent="0.5">
      <c r="B279" s="149"/>
      <c r="E279" s="247"/>
      <c r="F279" s="247"/>
      <c r="G279" s="247"/>
      <c r="H279" s="247"/>
      <c r="I279" s="247"/>
      <c r="J279" s="247"/>
      <c r="K279" s="247"/>
      <c r="L279" s="247"/>
      <c r="M279" s="247"/>
    </row>
    <row r="280" spans="2:13" x14ac:dyDescent="0.5">
      <c r="B280" s="149"/>
      <c r="E280" s="247"/>
      <c r="F280" s="247"/>
      <c r="G280" s="247"/>
      <c r="H280" s="247"/>
      <c r="I280" s="247"/>
      <c r="J280" s="247"/>
      <c r="K280" s="247"/>
      <c r="L280" s="247"/>
      <c r="M280" s="247"/>
    </row>
    <row r="281" spans="2:13" x14ac:dyDescent="0.5">
      <c r="B281" s="149"/>
      <c r="E281" s="247"/>
      <c r="F281" s="247"/>
      <c r="G281" s="247"/>
      <c r="H281" s="247"/>
      <c r="I281" s="247"/>
      <c r="J281" s="247"/>
      <c r="K281" s="247"/>
      <c r="L281" s="247"/>
      <c r="M281" s="247"/>
    </row>
    <row r="282" spans="2:13" x14ac:dyDescent="0.5">
      <c r="B282" s="149"/>
      <c r="E282" s="247"/>
      <c r="F282" s="247"/>
      <c r="G282" s="247"/>
      <c r="H282" s="247"/>
      <c r="I282" s="247"/>
      <c r="J282" s="247"/>
      <c r="K282" s="247"/>
      <c r="L282" s="247"/>
      <c r="M282" s="247"/>
    </row>
    <row r="283" spans="2:13" x14ac:dyDescent="0.5">
      <c r="B283" s="149"/>
      <c r="E283" s="247"/>
      <c r="F283" s="247"/>
      <c r="G283" s="247"/>
      <c r="H283" s="247"/>
      <c r="I283" s="247"/>
      <c r="J283" s="247"/>
      <c r="K283" s="247"/>
      <c r="L283" s="247"/>
      <c r="M283" s="247"/>
    </row>
    <row r="284" spans="2:13" x14ac:dyDescent="0.5">
      <c r="B284" s="149"/>
      <c r="E284" s="247"/>
      <c r="F284" s="247"/>
      <c r="G284" s="247"/>
      <c r="H284" s="247"/>
      <c r="I284" s="247"/>
      <c r="J284" s="247"/>
      <c r="K284" s="247"/>
      <c r="L284" s="247"/>
      <c r="M284" s="247"/>
    </row>
    <row r="285" spans="2:13" x14ac:dyDescent="0.5">
      <c r="B285" s="149"/>
      <c r="E285" s="247"/>
      <c r="F285" s="247"/>
      <c r="G285" s="247"/>
      <c r="H285" s="247"/>
      <c r="I285" s="247"/>
      <c r="J285" s="247"/>
      <c r="K285" s="247"/>
      <c r="L285" s="247"/>
      <c r="M285" s="247"/>
    </row>
    <row r="286" spans="2:13" x14ac:dyDescent="0.5">
      <c r="B286" s="149"/>
      <c r="E286" s="247"/>
      <c r="F286" s="247"/>
      <c r="G286" s="247"/>
      <c r="H286" s="247"/>
      <c r="I286" s="247"/>
      <c r="J286" s="247"/>
      <c r="K286" s="247"/>
      <c r="L286" s="247"/>
      <c r="M286" s="247"/>
    </row>
    <row r="287" spans="2:13" x14ac:dyDescent="0.5">
      <c r="B287" s="149"/>
      <c r="E287" s="247"/>
      <c r="F287" s="247"/>
      <c r="G287" s="247"/>
      <c r="H287" s="247"/>
      <c r="I287" s="247"/>
      <c r="J287" s="247"/>
      <c r="K287" s="247"/>
      <c r="L287" s="247"/>
      <c r="M287" s="247"/>
    </row>
    <row r="288" spans="2:13" x14ac:dyDescent="0.5">
      <c r="B288" s="149"/>
      <c r="E288" s="247"/>
      <c r="F288" s="247"/>
      <c r="G288" s="247"/>
      <c r="H288" s="247"/>
      <c r="I288" s="247"/>
      <c r="J288" s="247"/>
      <c r="K288" s="247"/>
      <c r="L288" s="247"/>
      <c r="M288" s="247"/>
    </row>
    <row r="289" spans="2:13" x14ac:dyDescent="0.5">
      <c r="B289" s="149"/>
      <c r="E289" s="247"/>
      <c r="F289" s="247"/>
      <c r="G289" s="247"/>
      <c r="H289" s="247"/>
      <c r="I289" s="247"/>
      <c r="J289" s="247"/>
      <c r="K289" s="247"/>
      <c r="L289" s="247"/>
      <c r="M289" s="247"/>
    </row>
    <row r="290" spans="2:13" x14ac:dyDescent="0.5">
      <c r="B290" s="149"/>
      <c r="E290" s="247"/>
      <c r="F290" s="247"/>
      <c r="G290" s="247"/>
      <c r="H290" s="247"/>
      <c r="I290" s="247"/>
      <c r="J290" s="247"/>
      <c r="K290" s="247"/>
      <c r="L290" s="247"/>
      <c r="M290" s="247"/>
    </row>
    <row r="291" spans="2:13" x14ac:dyDescent="0.5">
      <c r="B291" s="149"/>
      <c r="E291" s="247"/>
      <c r="F291" s="247"/>
      <c r="G291" s="247"/>
      <c r="H291" s="247"/>
      <c r="I291" s="247"/>
      <c r="J291" s="247"/>
      <c r="K291" s="247"/>
      <c r="L291" s="247"/>
      <c r="M291" s="247"/>
    </row>
    <row r="292" spans="2:13" x14ac:dyDescent="0.5">
      <c r="B292" s="149"/>
      <c r="E292" s="247"/>
      <c r="F292" s="247"/>
      <c r="G292" s="247"/>
      <c r="H292" s="247"/>
      <c r="I292" s="247"/>
      <c r="J292" s="247"/>
      <c r="K292" s="247"/>
      <c r="L292" s="247"/>
      <c r="M292" s="247"/>
    </row>
    <row r="293" spans="2:13" x14ac:dyDescent="0.5">
      <c r="B293" s="149"/>
      <c r="E293" s="247"/>
      <c r="F293" s="247"/>
      <c r="G293" s="247"/>
      <c r="H293" s="247"/>
      <c r="I293" s="247"/>
      <c r="J293" s="247"/>
      <c r="K293" s="247"/>
      <c r="L293" s="247"/>
      <c r="M293" s="247"/>
    </row>
    <row r="294" spans="2:13" x14ac:dyDescent="0.5">
      <c r="B294" s="149"/>
      <c r="E294" s="247"/>
      <c r="F294" s="247"/>
      <c r="G294" s="247"/>
      <c r="H294" s="247"/>
      <c r="I294" s="247"/>
      <c r="J294" s="247"/>
      <c r="K294" s="247"/>
      <c r="L294" s="247"/>
      <c r="M294" s="247"/>
    </row>
    <row r="295" spans="2:13" x14ac:dyDescent="0.5">
      <c r="B295" s="149"/>
      <c r="E295" s="247"/>
      <c r="F295" s="247"/>
      <c r="G295" s="247"/>
      <c r="H295" s="247"/>
      <c r="I295" s="247"/>
      <c r="J295" s="247"/>
      <c r="K295" s="247"/>
      <c r="L295" s="247"/>
      <c r="M295" s="247"/>
    </row>
    <row r="296" spans="2:13" x14ac:dyDescent="0.5">
      <c r="B296" s="149"/>
      <c r="E296" s="247"/>
      <c r="F296" s="247"/>
      <c r="G296" s="247"/>
      <c r="H296" s="247"/>
      <c r="I296" s="247"/>
      <c r="J296" s="247"/>
      <c r="K296" s="247"/>
      <c r="L296" s="247"/>
      <c r="M296" s="247"/>
    </row>
    <row r="297" spans="2:13" x14ac:dyDescent="0.5">
      <c r="B297" s="149"/>
      <c r="E297" s="247"/>
      <c r="F297" s="247"/>
      <c r="G297" s="247"/>
      <c r="H297" s="247"/>
      <c r="I297" s="247"/>
      <c r="J297" s="247"/>
      <c r="K297" s="247"/>
      <c r="L297" s="247"/>
      <c r="M297" s="247"/>
    </row>
    <row r="298" spans="2:13" x14ac:dyDescent="0.5">
      <c r="B298" s="149"/>
      <c r="E298" s="247"/>
      <c r="F298" s="247"/>
      <c r="G298" s="247"/>
      <c r="H298" s="247"/>
      <c r="I298" s="247"/>
      <c r="J298" s="247"/>
      <c r="K298" s="247"/>
      <c r="L298" s="247"/>
      <c r="M298" s="247"/>
    </row>
  </sheetData>
  <pageMargins left="0.25" right="0.25" top="0.75" bottom="0.75" header="0.3" footer="0.3"/>
  <pageSetup paperSize="5" scale="54" orientation="landscape" r:id="rId1"/>
  <rowBreaks count="1" manualBreakCount="1">
    <brk id="35" max="32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94DB3-CA1B-4BBD-8704-7F1CB2970673}">
  <dimension ref="A1:AI304"/>
  <sheetViews>
    <sheetView topLeftCell="A7" workbookViewId="0">
      <pane xSplit="5" ySplit="9" topLeftCell="F16" activePane="bottomRight" state="frozen"/>
      <selection activeCell="A7" sqref="A7"/>
      <selection pane="topRight" activeCell="F7" sqref="F7"/>
      <selection pane="bottomLeft" activeCell="A16" sqref="A16"/>
      <selection pane="bottomRight" activeCell="H45" sqref="H45"/>
    </sheetView>
  </sheetViews>
  <sheetFormatPr defaultColWidth="8.86328125" defaultRowHeight="15.75" x14ac:dyDescent="0.5"/>
  <cols>
    <col min="1" max="1" width="3.59765625" customWidth="1"/>
    <col min="2" max="2" width="8.1328125" style="148" customWidth="1"/>
    <col min="3" max="3" width="47.86328125" style="149" customWidth="1"/>
    <col min="4" max="4" width="6.1328125" style="149" customWidth="1"/>
    <col min="5" max="5" width="20.53125" style="150" customWidth="1"/>
    <col min="6" max="6" width="4" style="150" customWidth="1"/>
    <col min="7" max="7" width="15.796875" style="150" customWidth="1"/>
    <col min="8" max="8" width="9.46484375" style="150" customWidth="1"/>
    <col min="9" max="9" width="17.6640625" style="150" customWidth="1"/>
    <col min="10" max="10" width="3.59765625" style="150" customWidth="1"/>
    <col min="11" max="12" width="15.59765625" style="150" customWidth="1"/>
    <col min="13" max="14" width="18.06640625" customWidth="1"/>
    <col min="15" max="31" width="15.59765625" customWidth="1"/>
    <col min="32" max="32" width="4.3984375" customWidth="1"/>
    <col min="33" max="33" width="10.86328125" hidden="1" customWidth="1"/>
    <col min="35" max="35" width="12.796875" bestFit="1" customWidth="1"/>
  </cols>
  <sheetData>
    <row r="1" spans="2:32" hidden="1" x14ac:dyDescent="0.5">
      <c r="I1" s="151">
        <f>K1/K5</f>
        <v>0.15998207483755322</v>
      </c>
      <c r="J1" s="151"/>
      <c r="K1" s="152">
        <v>2142</v>
      </c>
      <c r="L1" s="152"/>
      <c r="M1" t="s">
        <v>50</v>
      </c>
      <c r="O1" s="52">
        <f>20000*I1</f>
        <v>3199.6414967510646</v>
      </c>
      <c r="P1" s="52"/>
      <c r="Q1" t="s">
        <v>50</v>
      </c>
    </row>
    <row r="2" spans="2:32" hidden="1" x14ac:dyDescent="0.5">
      <c r="I2" s="151">
        <f>K2/K5</f>
        <v>6.9982821719321825E-2</v>
      </c>
      <c r="J2" s="151"/>
      <c r="K2" s="152">
        <v>937</v>
      </c>
      <c r="L2" s="152"/>
      <c r="M2" t="s">
        <v>96</v>
      </c>
      <c r="O2" s="52">
        <f t="shared" ref="O2:O4" si="0">20000*I2</f>
        <v>1399.6564343864366</v>
      </c>
      <c r="P2" s="52"/>
      <c r="Q2" t="s">
        <v>96</v>
      </c>
      <c r="W2" s="52">
        <v>100000</v>
      </c>
      <c r="X2" s="52"/>
      <c r="Y2" t="s">
        <v>97</v>
      </c>
      <c r="AA2" t="s">
        <v>60</v>
      </c>
      <c r="AC2" s="52"/>
      <c r="AD2" s="52"/>
      <c r="AE2" s="52">
        <v>79276</v>
      </c>
      <c r="AF2" t="s">
        <v>60</v>
      </c>
    </row>
    <row r="3" spans="2:32" hidden="1" x14ac:dyDescent="0.5">
      <c r="I3" s="151">
        <f>K3/K5</f>
        <v>0.29001419075360368</v>
      </c>
      <c r="J3" s="151"/>
      <c r="K3" s="152">
        <v>3883</v>
      </c>
      <c r="L3" s="152"/>
      <c r="M3" t="s">
        <v>64</v>
      </c>
      <c r="O3" s="52">
        <f t="shared" si="0"/>
        <v>5800.2838150720736</v>
      </c>
      <c r="P3" s="52"/>
      <c r="Q3" t="s">
        <v>64</v>
      </c>
      <c r="W3" s="52">
        <v>4177</v>
      </c>
      <c r="X3" s="52"/>
      <c r="Y3" t="s">
        <v>50</v>
      </c>
      <c r="AC3" s="153"/>
      <c r="AD3" s="153"/>
      <c r="AE3" s="153">
        <f>-AE21</f>
        <v>-79276.999999999985</v>
      </c>
    </row>
    <row r="4" spans="2:32" hidden="1" x14ac:dyDescent="0.5">
      <c r="I4" s="154">
        <f>K4/K5</f>
        <v>0.48002091268952124</v>
      </c>
      <c r="J4" s="154"/>
      <c r="K4" s="155">
        <v>6427</v>
      </c>
      <c r="L4" s="346"/>
      <c r="M4" t="s">
        <v>45</v>
      </c>
      <c r="O4" s="153">
        <f t="shared" si="0"/>
        <v>9600.4182537904253</v>
      </c>
      <c r="P4" s="347"/>
      <c r="Q4" t="s">
        <v>45</v>
      </c>
      <c r="W4" s="52">
        <v>12578</v>
      </c>
      <c r="X4" s="52"/>
      <c r="Y4" t="s">
        <v>98</v>
      </c>
      <c r="AC4" s="52"/>
      <c r="AD4" s="52"/>
      <c r="AE4" s="52">
        <f>SUM(AE2:AE3)</f>
        <v>-0.99999999998544808</v>
      </c>
    </row>
    <row r="5" spans="2:32" hidden="1" x14ac:dyDescent="0.5">
      <c r="I5" s="151">
        <f>SUM(I1:I4)</f>
        <v>1</v>
      </c>
      <c r="J5" s="151"/>
      <c r="K5" s="152">
        <f>SUM(K1:K4)</f>
        <v>13389</v>
      </c>
      <c r="L5" s="152"/>
      <c r="O5" s="52">
        <f>SUM(O1:O4)</f>
        <v>20000</v>
      </c>
      <c r="P5" s="52"/>
      <c r="W5" s="153">
        <v>4000</v>
      </c>
      <c r="X5" s="347"/>
      <c r="Y5" t="s">
        <v>99</v>
      </c>
      <c r="AC5" s="52"/>
      <c r="AD5" s="52"/>
    </row>
    <row r="6" spans="2:32" ht="16.149999999999999" hidden="1" thickBot="1" x14ac:dyDescent="0.55000000000000004">
      <c r="W6" s="156">
        <f>SUM(W2:W5)</f>
        <v>120755</v>
      </c>
      <c r="X6" s="347"/>
      <c r="Y6" t="s">
        <v>100</v>
      </c>
    </row>
    <row r="7" spans="2:32" x14ac:dyDescent="0.5">
      <c r="W7" s="52"/>
      <c r="X7" s="52"/>
    </row>
    <row r="8" spans="2:32" x14ac:dyDescent="0.5">
      <c r="W8" s="52"/>
      <c r="X8" s="52"/>
    </row>
    <row r="9" spans="2:32" x14ac:dyDescent="0.5">
      <c r="W9" s="52"/>
      <c r="X9" s="52" t="s">
        <v>0</v>
      </c>
    </row>
    <row r="10" spans="2:32" x14ac:dyDescent="0.5">
      <c r="I10"/>
      <c r="J10"/>
      <c r="K10"/>
      <c r="L10"/>
    </row>
    <row r="11" spans="2:32" x14ac:dyDescent="0.5">
      <c r="I11"/>
      <c r="J11"/>
      <c r="K11"/>
      <c r="L11"/>
    </row>
    <row r="12" spans="2:32" x14ac:dyDescent="0.5">
      <c r="I12"/>
      <c r="J12"/>
      <c r="K12"/>
      <c r="L12"/>
    </row>
    <row r="13" spans="2:32" x14ac:dyDescent="0.5">
      <c r="I13"/>
      <c r="J13"/>
      <c r="K13"/>
      <c r="L13"/>
    </row>
    <row r="14" spans="2:32" x14ac:dyDescent="0.5">
      <c r="I14"/>
      <c r="J14"/>
      <c r="K14"/>
      <c r="L14"/>
    </row>
    <row r="15" spans="2:32" ht="75" x14ac:dyDescent="0.5">
      <c r="C15" s="157"/>
      <c r="D15" s="157"/>
      <c r="E15" s="158" t="s">
        <v>182</v>
      </c>
      <c r="F15" s="158"/>
      <c r="G15" s="159" t="s">
        <v>101</v>
      </c>
      <c r="H15" s="159"/>
      <c r="I15" s="160" t="s">
        <v>183</v>
      </c>
      <c r="J15" s="158"/>
      <c r="K15" s="161" t="s">
        <v>45</v>
      </c>
      <c r="L15" s="348"/>
      <c r="M15" s="162" t="s">
        <v>102</v>
      </c>
      <c r="N15" s="363"/>
      <c r="O15" s="162" t="s">
        <v>103</v>
      </c>
      <c r="P15" s="363"/>
      <c r="Q15" s="162" t="s">
        <v>96</v>
      </c>
      <c r="R15" s="363"/>
      <c r="S15" s="162" t="s">
        <v>104</v>
      </c>
      <c r="T15" s="363"/>
      <c r="U15" s="162" t="s">
        <v>60</v>
      </c>
      <c r="V15" s="363"/>
      <c r="W15" s="162" t="s">
        <v>50</v>
      </c>
      <c r="X15" s="363"/>
      <c r="Y15" s="162" t="s">
        <v>98</v>
      </c>
      <c r="Z15" s="363"/>
      <c r="AA15" s="163" t="s">
        <v>46</v>
      </c>
      <c r="AB15" s="374"/>
      <c r="AC15" s="163" t="s">
        <v>105</v>
      </c>
      <c r="AD15" s="374"/>
      <c r="AE15" s="162" t="s">
        <v>106</v>
      </c>
    </row>
    <row r="16" spans="2:32" s="167" customFormat="1" ht="24.4" customHeight="1" x14ac:dyDescent="0.5">
      <c r="B16" s="164" t="s">
        <v>107</v>
      </c>
      <c r="C16" s="165" t="s">
        <v>108</v>
      </c>
      <c r="D16" s="165"/>
      <c r="E16" s="166"/>
      <c r="F16" s="166"/>
      <c r="I16" s="166"/>
      <c r="J16" s="166"/>
      <c r="K16" s="166"/>
      <c r="L16" s="349"/>
      <c r="N16" s="364"/>
      <c r="P16" s="364"/>
      <c r="R16" s="364"/>
      <c r="T16" s="364"/>
      <c r="U16" s="169"/>
      <c r="V16" s="372"/>
      <c r="X16" s="364"/>
      <c r="Z16" s="364"/>
      <c r="AB16" s="364"/>
      <c r="AD16" s="364"/>
    </row>
    <row r="17" spans="1:35" x14ac:dyDescent="0.5">
      <c r="A17" s="170"/>
      <c r="B17" s="171">
        <v>4110</v>
      </c>
      <c r="C17" s="172" t="s">
        <v>109</v>
      </c>
      <c r="D17" s="172"/>
      <c r="E17" s="175">
        <v>1055978</v>
      </c>
      <c r="F17" s="175"/>
      <c r="G17" s="174">
        <v>610516</v>
      </c>
      <c r="H17" s="174"/>
      <c r="J17" s="173"/>
      <c r="K17" s="176" t="s">
        <v>0</v>
      </c>
      <c r="L17" s="350"/>
      <c r="M17" s="177"/>
      <c r="N17" s="365"/>
      <c r="O17" s="177"/>
      <c r="P17" s="365"/>
      <c r="Q17" s="177"/>
      <c r="R17" s="365"/>
      <c r="S17" s="177"/>
      <c r="T17" s="365"/>
      <c r="U17" s="177" t="s">
        <v>0</v>
      </c>
      <c r="V17" s="365"/>
      <c r="W17" s="177">
        <v>46608</v>
      </c>
      <c r="X17" s="378">
        <f>W17/E17</f>
        <v>4.4137283163096203E-2</v>
      </c>
      <c r="Y17" s="177">
        <v>13000</v>
      </c>
      <c r="Z17" s="378">
        <f>Y17/E17</f>
        <v>1.2310862536908914E-2</v>
      </c>
      <c r="AA17" s="177">
        <v>996370</v>
      </c>
      <c r="AB17" s="378">
        <f>AA17/E17</f>
        <v>0.94355185429999489</v>
      </c>
      <c r="AC17" s="177">
        <v>0</v>
      </c>
      <c r="AD17" s="365"/>
      <c r="AE17" s="174">
        <f t="shared" ref="AE17:AE24" si="1">SUM(K17:AC17)</f>
        <v>1055979</v>
      </c>
      <c r="AG17" s="178">
        <f>+AE17</f>
        <v>1055979</v>
      </c>
      <c r="AI17" s="7"/>
    </row>
    <row r="18" spans="1:35" x14ac:dyDescent="0.5">
      <c r="A18" s="170"/>
      <c r="B18" s="171"/>
      <c r="C18" s="172" t="s">
        <v>110</v>
      </c>
      <c r="D18" s="172"/>
      <c r="E18" s="181">
        <v>105166</v>
      </c>
      <c r="F18" s="181"/>
      <c r="G18" s="180"/>
      <c r="H18" s="180"/>
      <c r="J18" s="173"/>
      <c r="K18" s="176">
        <v>105166</v>
      </c>
      <c r="L18" s="355">
        <f>K18/E18</f>
        <v>1</v>
      </c>
      <c r="M18" s="177"/>
      <c r="N18" s="365"/>
      <c r="O18" s="177"/>
      <c r="P18" s="365"/>
      <c r="Q18" s="177"/>
      <c r="R18" s="365"/>
      <c r="S18" s="177"/>
      <c r="T18" s="365"/>
      <c r="U18" s="177"/>
      <c r="V18" s="365"/>
      <c r="W18" s="177"/>
      <c r="X18" s="365"/>
      <c r="Y18" s="177"/>
      <c r="Z18" s="365"/>
      <c r="AA18" s="177"/>
      <c r="AB18" s="365"/>
      <c r="AC18" s="177"/>
      <c r="AD18" s="365"/>
      <c r="AE18" s="174">
        <f t="shared" si="1"/>
        <v>105167</v>
      </c>
      <c r="AG18" s="178">
        <f>+AE18</f>
        <v>105167</v>
      </c>
      <c r="AI18" s="7">
        <v>1903120</v>
      </c>
    </row>
    <row r="19" spans="1:35" x14ac:dyDescent="0.5">
      <c r="A19" s="170"/>
      <c r="B19" s="171"/>
      <c r="C19" s="172" t="s">
        <v>111</v>
      </c>
      <c r="D19" s="172"/>
      <c r="E19" s="181"/>
      <c r="F19" s="181"/>
      <c r="G19" s="180"/>
      <c r="H19" s="180"/>
      <c r="J19" s="173"/>
      <c r="K19" s="179"/>
      <c r="L19" s="351"/>
      <c r="M19" s="180"/>
      <c r="N19" s="366"/>
      <c r="O19" s="180"/>
      <c r="P19" s="366"/>
      <c r="Q19" s="180"/>
      <c r="R19" s="366"/>
      <c r="S19" s="180"/>
      <c r="T19" s="366"/>
      <c r="U19" s="180"/>
      <c r="V19" s="366"/>
      <c r="W19" s="180"/>
      <c r="X19" s="366"/>
      <c r="Y19" s="180" t="s">
        <v>0</v>
      </c>
      <c r="Z19" s="366"/>
      <c r="AA19" s="180"/>
      <c r="AB19" s="366"/>
      <c r="AC19" s="180"/>
      <c r="AD19" s="366"/>
      <c r="AE19" s="174">
        <f t="shared" si="1"/>
        <v>0</v>
      </c>
      <c r="AG19" s="178">
        <f>+AE19</f>
        <v>0</v>
      </c>
      <c r="AI19" s="7">
        <f>-AE25</f>
        <v>-1903123</v>
      </c>
    </row>
    <row r="20" spans="1:35" x14ac:dyDescent="0.5">
      <c r="A20" s="170"/>
      <c r="B20" s="171"/>
      <c r="C20" s="172" t="s">
        <v>51</v>
      </c>
      <c r="D20" s="172"/>
      <c r="E20" s="181"/>
      <c r="F20" s="181"/>
      <c r="G20" s="180"/>
      <c r="H20" s="180"/>
      <c r="J20" s="173"/>
      <c r="K20" s="179"/>
      <c r="L20" s="351"/>
      <c r="M20" s="180"/>
      <c r="N20" s="366"/>
      <c r="O20" s="180"/>
      <c r="P20" s="366"/>
      <c r="Q20" s="180"/>
      <c r="R20" s="366"/>
      <c r="S20" s="180"/>
      <c r="T20" s="366"/>
      <c r="U20" s="180" t="s">
        <v>0</v>
      </c>
      <c r="V20" s="366"/>
      <c r="W20" s="180"/>
      <c r="X20" s="366"/>
      <c r="Y20" s="180"/>
      <c r="Z20" s="366"/>
      <c r="AA20" s="180"/>
      <c r="AB20" s="366"/>
      <c r="AC20" s="180"/>
      <c r="AD20" s="366"/>
      <c r="AE20" s="174">
        <f t="shared" si="1"/>
        <v>0</v>
      </c>
      <c r="AG20" s="178">
        <f>+AE20</f>
        <v>0</v>
      </c>
      <c r="AI20" s="7">
        <f>SUM(AI18:AI19)</f>
        <v>-3</v>
      </c>
    </row>
    <row r="21" spans="1:35" x14ac:dyDescent="0.5">
      <c r="A21" s="170"/>
      <c r="B21" s="171"/>
      <c r="C21" s="172" t="s">
        <v>112</v>
      </c>
      <c r="D21" s="172"/>
      <c r="E21" s="181">
        <v>79276</v>
      </c>
      <c r="F21" s="181"/>
      <c r="G21" s="180"/>
      <c r="H21" s="180"/>
      <c r="J21" s="173"/>
      <c r="K21" s="179"/>
      <c r="L21" s="351"/>
      <c r="M21" s="180" t="s">
        <v>0</v>
      </c>
      <c r="N21" s="366"/>
      <c r="O21" s="180" t="s">
        <v>0</v>
      </c>
      <c r="P21" s="366"/>
      <c r="Q21" s="180" t="s">
        <v>0</v>
      </c>
      <c r="R21" s="366"/>
      <c r="S21" s="180" t="s">
        <v>0</v>
      </c>
      <c r="T21" s="366"/>
      <c r="U21" s="180">
        <v>7489</v>
      </c>
      <c r="V21" s="378">
        <f>U21/E21</f>
        <v>9.4467430243705533E-2</v>
      </c>
      <c r="W21" s="180">
        <v>31787</v>
      </c>
      <c r="X21" s="378">
        <f>W21/E21</f>
        <v>0.40096624451284119</v>
      </c>
      <c r="Y21" s="180">
        <v>40000</v>
      </c>
      <c r="Z21" s="378">
        <f>Y21/E21</f>
        <v>0.50456632524345324</v>
      </c>
      <c r="AA21" s="180"/>
      <c r="AB21" s="366"/>
      <c r="AC21" s="180"/>
      <c r="AD21" s="366"/>
      <c r="AE21" s="182">
        <f t="shared" si="1"/>
        <v>79276.999999999985</v>
      </c>
      <c r="AG21" s="178">
        <f>+AE21</f>
        <v>79276.999999999985</v>
      </c>
      <c r="AI21" s="7"/>
    </row>
    <row r="22" spans="1:35" x14ac:dyDescent="0.5">
      <c r="A22" s="170"/>
      <c r="B22" s="171">
        <v>4120</v>
      </c>
      <c r="C22" s="172" t="s">
        <v>113</v>
      </c>
      <c r="D22" s="172"/>
      <c r="E22" s="181">
        <v>148000</v>
      </c>
      <c r="F22" s="181"/>
      <c r="G22" s="180">
        <v>133140</v>
      </c>
      <c r="H22" s="180"/>
      <c r="J22" s="183"/>
      <c r="K22" s="179">
        <v>148000</v>
      </c>
      <c r="L22" s="355">
        <f>K22/E22</f>
        <v>1</v>
      </c>
      <c r="M22" s="180"/>
      <c r="N22" s="366"/>
      <c r="O22" s="180"/>
      <c r="P22" s="366"/>
      <c r="Q22" s="180"/>
      <c r="R22" s="366"/>
      <c r="S22" s="180"/>
      <c r="T22" s="366"/>
      <c r="U22" s="180"/>
      <c r="V22" s="366"/>
      <c r="W22" s="180"/>
      <c r="X22" s="366"/>
      <c r="Y22" s="180" t="s">
        <v>0</v>
      </c>
      <c r="Z22" s="366"/>
      <c r="AA22" s="180"/>
      <c r="AB22" s="366"/>
      <c r="AC22" s="180"/>
      <c r="AD22" s="366"/>
      <c r="AE22" s="182">
        <v>148000</v>
      </c>
      <c r="AI22" s="7"/>
    </row>
    <row r="23" spans="1:35" x14ac:dyDescent="0.5">
      <c r="A23" s="170"/>
      <c r="B23" s="171">
        <v>4150</v>
      </c>
      <c r="C23" s="172" t="s">
        <v>114</v>
      </c>
      <c r="D23" s="172"/>
      <c r="E23" s="181">
        <v>514700</v>
      </c>
      <c r="F23" s="181"/>
      <c r="G23" s="180">
        <v>234324</v>
      </c>
      <c r="H23" s="180"/>
      <c r="J23" s="183"/>
      <c r="K23" s="179"/>
      <c r="L23" s="351"/>
      <c r="M23" s="179">
        <v>156500</v>
      </c>
      <c r="N23" s="355">
        <f>M23/E23</f>
        <v>0.30406061783563243</v>
      </c>
      <c r="O23" s="179">
        <v>144000</v>
      </c>
      <c r="P23" s="355">
        <f>O23/E23</f>
        <v>0.27977462599572567</v>
      </c>
      <c r="Q23" s="179">
        <v>203000</v>
      </c>
      <c r="R23" s="355">
        <f>Q23/E23</f>
        <v>0.39440450748008549</v>
      </c>
      <c r="S23" s="179">
        <v>11200</v>
      </c>
      <c r="T23" s="355">
        <f>S23/E23</f>
        <v>2.176024868855644E-2</v>
      </c>
      <c r="U23" s="179"/>
      <c r="V23" s="351"/>
      <c r="W23" s="184"/>
      <c r="X23" s="371"/>
      <c r="Y23" s="184"/>
      <c r="Z23" s="371"/>
      <c r="AA23" s="184"/>
      <c r="AB23" s="371"/>
      <c r="AC23" s="184"/>
      <c r="AD23" s="371"/>
      <c r="AE23" s="182">
        <v>514700</v>
      </c>
      <c r="AI23" s="7"/>
    </row>
    <row r="24" spans="1:35" x14ac:dyDescent="0.5">
      <c r="A24" s="170"/>
      <c r="B24" s="171">
        <v>4990</v>
      </c>
      <c r="C24" s="172" t="s">
        <v>115</v>
      </c>
      <c r="D24" s="172"/>
      <c r="E24" s="181">
        <v>0</v>
      </c>
      <c r="F24" s="181"/>
      <c r="G24" s="185">
        <v>818</v>
      </c>
      <c r="H24" s="180"/>
      <c r="J24" s="183"/>
      <c r="K24" s="186"/>
      <c r="L24" s="352"/>
      <c r="M24" s="187"/>
      <c r="N24" s="367"/>
      <c r="O24" s="187"/>
      <c r="P24" s="367"/>
      <c r="Q24" s="187"/>
      <c r="R24" s="367"/>
      <c r="S24" s="187"/>
      <c r="T24" s="367"/>
      <c r="U24" s="187"/>
      <c r="V24" s="367"/>
      <c r="W24" s="187"/>
      <c r="X24" s="367"/>
      <c r="Y24" s="187"/>
      <c r="Z24" s="367"/>
      <c r="AA24" s="187"/>
      <c r="AB24" s="367"/>
      <c r="AC24" s="187"/>
      <c r="AD24" s="367"/>
      <c r="AE24" s="188">
        <f t="shared" si="1"/>
        <v>0</v>
      </c>
      <c r="AG24" s="189"/>
      <c r="AI24" s="174">
        <f t="shared" ref="AI24" si="2">SUM(S24:AH24)</f>
        <v>0</v>
      </c>
    </row>
    <row r="25" spans="1:35" thickBot="1" x14ac:dyDescent="0.5">
      <c r="A25" s="170"/>
      <c r="B25" s="171"/>
      <c r="C25" s="190" t="s">
        <v>116</v>
      </c>
      <c r="D25" s="190"/>
      <c r="E25" s="191">
        <f>SUM(E17:E24)</f>
        <v>1903120</v>
      </c>
      <c r="F25" s="191"/>
      <c r="G25" s="192">
        <f>SUM(G17:G24)</f>
        <v>978798</v>
      </c>
      <c r="H25" s="192"/>
      <c r="I25" s="193">
        <f>SUM(E17:E24)</f>
        <v>1903120</v>
      </c>
      <c r="J25" s="191"/>
      <c r="K25" s="194">
        <f>SUM(K17:K24)</f>
        <v>253166</v>
      </c>
      <c r="L25" s="353"/>
      <c r="M25" s="194">
        <f t="shared" ref="M25:AC25" si="3">SUM(M17:M24)</f>
        <v>156500</v>
      </c>
      <c r="N25" s="353"/>
      <c r="O25" s="194">
        <f t="shared" si="3"/>
        <v>144000</v>
      </c>
      <c r="P25" s="353"/>
      <c r="Q25" s="194">
        <f t="shared" si="3"/>
        <v>203000</v>
      </c>
      <c r="R25" s="353"/>
      <c r="S25" s="194">
        <f t="shared" si="3"/>
        <v>11200</v>
      </c>
      <c r="T25" s="353"/>
      <c r="U25" s="194">
        <f t="shared" si="3"/>
        <v>7489</v>
      </c>
      <c r="V25" s="353"/>
      <c r="W25" s="194">
        <f t="shared" si="3"/>
        <v>78395</v>
      </c>
      <c r="X25" s="353"/>
      <c r="Y25" s="194">
        <f t="shared" si="3"/>
        <v>53000</v>
      </c>
      <c r="Z25" s="353"/>
      <c r="AA25" s="194">
        <f t="shared" si="3"/>
        <v>996370</v>
      </c>
      <c r="AB25" s="353"/>
      <c r="AC25" s="194">
        <f t="shared" si="3"/>
        <v>0</v>
      </c>
      <c r="AD25" s="353"/>
      <c r="AE25" s="194">
        <f>SUM(AE17:AE24)</f>
        <v>1903123</v>
      </c>
      <c r="AG25" s="52">
        <f>SUM(AG17:AG24)</f>
        <v>1240423</v>
      </c>
      <c r="AI25" s="7"/>
    </row>
    <row r="26" spans="1:35" thickTop="1" x14ac:dyDescent="0.45">
      <c r="A26" s="170"/>
      <c r="B26" s="171"/>
      <c r="C26" s="172"/>
      <c r="D26" s="172"/>
      <c r="E26" s="195"/>
      <c r="F26" s="195"/>
      <c r="G26" s="196"/>
      <c r="H26" s="196"/>
      <c r="I26" s="195"/>
      <c r="J26" s="195"/>
      <c r="K26" s="195"/>
      <c r="L26" s="354"/>
      <c r="M26" s="178"/>
      <c r="N26" s="368"/>
      <c r="O26" s="178"/>
      <c r="P26" s="368"/>
      <c r="Q26" s="178"/>
      <c r="R26" s="368"/>
      <c r="S26" s="178"/>
      <c r="T26" s="368"/>
      <c r="U26" s="178"/>
      <c r="V26" s="368"/>
      <c r="X26" s="373"/>
      <c r="Z26" s="373"/>
      <c r="AB26" s="373"/>
      <c r="AD26" s="373"/>
      <c r="AE26" s="198" t="s">
        <v>0</v>
      </c>
      <c r="AG26" s="189">
        <v>-164774</v>
      </c>
    </row>
    <row r="27" spans="1:35" ht="15.4" x14ac:dyDescent="0.45">
      <c r="A27" s="170"/>
      <c r="B27" s="171"/>
      <c r="C27" s="165" t="s">
        <v>117</v>
      </c>
      <c r="D27" s="165"/>
      <c r="E27" s="195"/>
      <c r="F27" s="195"/>
      <c r="G27" s="196"/>
      <c r="H27" s="196"/>
      <c r="I27" s="195"/>
      <c r="J27" s="195"/>
      <c r="K27" s="195"/>
      <c r="L27" s="354"/>
      <c r="M27" s="178"/>
      <c r="N27" s="368"/>
      <c r="O27" s="178"/>
      <c r="P27" s="368"/>
      <c r="Q27" s="178"/>
      <c r="R27" s="368"/>
      <c r="S27" s="178"/>
      <c r="T27" s="368"/>
      <c r="U27" s="178"/>
      <c r="V27" s="368"/>
      <c r="X27" s="373"/>
      <c r="Z27" s="373"/>
      <c r="AB27" s="373"/>
      <c r="AD27" s="373"/>
      <c r="AE27" s="198" t="s">
        <v>0</v>
      </c>
      <c r="AG27" s="52">
        <f>SUM(AG25:AG26)</f>
        <v>1075649</v>
      </c>
    </row>
    <row r="28" spans="1:35" x14ac:dyDescent="0.5">
      <c r="A28" s="170"/>
      <c r="B28" s="171">
        <v>6000</v>
      </c>
      <c r="C28" s="172" t="s">
        <v>118</v>
      </c>
      <c r="D28" s="172"/>
      <c r="E28" s="175">
        <v>424250</v>
      </c>
      <c r="F28" s="175"/>
      <c r="G28" s="174">
        <v>214628</v>
      </c>
      <c r="H28" s="174"/>
      <c r="I28" s="150" t="s">
        <v>184</v>
      </c>
      <c r="J28" s="173"/>
      <c r="K28" s="176">
        <v>107583</v>
      </c>
      <c r="L28" s="355">
        <f>K28/E28</f>
        <v>0.2535839717147908</v>
      </c>
      <c r="M28" s="177"/>
      <c r="N28" s="365"/>
      <c r="O28" s="177"/>
      <c r="P28" s="365"/>
      <c r="Q28" s="177"/>
      <c r="R28" s="365"/>
      <c r="S28" s="177"/>
      <c r="T28" s="365"/>
      <c r="U28" s="177">
        <v>5583</v>
      </c>
      <c r="V28" s="378">
        <f>U28/E28</f>
        <v>1.3159693576900413E-2</v>
      </c>
      <c r="W28" s="177">
        <v>44660</v>
      </c>
      <c r="X28" s="378">
        <f>W28/E28</f>
        <v>0.10526812021213906</v>
      </c>
      <c r="Y28" s="177"/>
      <c r="Z28" s="365"/>
      <c r="AA28" s="177">
        <v>266424</v>
      </c>
      <c r="AB28" s="378">
        <f>AA28/E28</f>
        <v>0.62798821449616971</v>
      </c>
      <c r="AC28" s="177"/>
      <c r="AD28" s="365"/>
      <c r="AE28" s="174">
        <f t="shared" ref="AE28:AE34" si="4">SUM(K28:AA28)</f>
        <v>424250.37201178551</v>
      </c>
    </row>
    <row r="29" spans="1:35" x14ac:dyDescent="0.5">
      <c r="A29" s="170"/>
      <c r="B29" s="171">
        <v>6010</v>
      </c>
      <c r="C29" s="172" t="s">
        <v>119</v>
      </c>
      <c r="D29" s="172"/>
      <c r="E29" s="181">
        <v>0</v>
      </c>
      <c r="F29" s="181"/>
      <c r="G29" s="180">
        <v>0</v>
      </c>
      <c r="H29" s="180"/>
      <c r="J29" s="183"/>
      <c r="K29" s="179"/>
      <c r="L29" s="355" t="s">
        <v>0</v>
      </c>
      <c r="M29" s="180"/>
      <c r="N29" s="366"/>
      <c r="O29" s="180"/>
      <c r="P29" s="366"/>
      <c r="Q29" s="180"/>
      <c r="R29" s="366"/>
      <c r="S29" s="180"/>
      <c r="T29" s="366"/>
      <c r="U29" s="180"/>
      <c r="V29" s="378" t="s">
        <v>0</v>
      </c>
      <c r="W29" s="180"/>
      <c r="X29" s="378" t="s">
        <v>0</v>
      </c>
      <c r="Y29" s="180"/>
      <c r="Z29" s="366"/>
      <c r="AA29" s="180"/>
      <c r="AB29" s="378" t="s">
        <v>0</v>
      </c>
      <c r="AC29" s="177"/>
      <c r="AD29" s="365"/>
      <c r="AE29" s="180">
        <f t="shared" si="4"/>
        <v>0</v>
      </c>
    </row>
    <row r="30" spans="1:35" x14ac:dyDescent="0.5">
      <c r="A30" s="170"/>
      <c r="B30" s="171">
        <v>6100</v>
      </c>
      <c r="C30" s="172" t="s">
        <v>15</v>
      </c>
      <c r="D30" s="172"/>
      <c r="E30" s="181">
        <v>23274</v>
      </c>
      <c r="F30" s="181"/>
      <c r="G30" s="180">
        <v>15633</v>
      </c>
      <c r="H30" s="180"/>
      <c r="J30" s="183"/>
      <c r="K30" s="179">
        <v>427</v>
      </c>
      <c r="L30" s="355">
        <f>K30/E30</f>
        <v>1.834665291741858E-2</v>
      </c>
      <c r="M30" s="180"/>
      <c r="N30" s="366"/>
      <c r="O30" s="180"/>
      <c r="P30" s="366"/>
      <c r="Q30" s="180"/>
      <c r="R30" s="366"/>
      <c r="S30" s="180"/>
      <c r="T30" s="366"/>
      <c r="U30" s="180">
        <v>427</v>
      </c>
      <c r="V30" s="378">
        <f t="shared" ref="V30:V34" si="5">U30/E30</f>
        <v>1.834665291741858E-2</v>
      </c>
      <c r="W30" s="180">
        <v>3416</v>
      </c>
      <c r="X30" s="378">
        <f t="shared" ref="X30:X34" si="6">W30/E30</f>
        <v>0.14677322333934864</v>
      </c>
      <c r="Y30" s="180"/>
      <c r="Z30" s="366"/>
      <c r="AA30" s="180">
        <v>19004</v>
      </c>
      <c r="AB30" s="378">
        <f t="shared" ref="AB30:AB34" si="7">AA30/E30</f>
        <v>0.81653347082581418</v>
      </c>
      <c r="AC30" s="177"/>
      <c r="AD30" s="365"/>
      <c r="AE30" s="180">
        <f t="shared" si="4"/>
        <v>23274.183466529175</v>
      </c>
    </row>
    <row r="31" spans="1:35" x14ac:dyDescent="0.5">
      <c r="A31" s="170"/>
      <c r="B31" s="171">
        <v>6110</v>
      </c>
      <c r="C31" s="172" t="s">
        <v>120</v>
      </c>
      <c r="D31" s="172"/>
      <c r="E31" s="181">
        <v>4210</v>
      </c>
      <c r="F31" s="181"/>
      <c r="G31" s="180">
        <v>2247</v>
      </c>
      <c r="H31" s="180"/>
      <c r="J31" s="183"/>
      <c r="K31" s="179">
        <v>70</v>
      </c>
      <c r="L31" s="355">
        <f>K31/E31</f>
        <v>1.66270783847981E-2</v>
      </c>
      <c r="M31" s="180"/>
      <c r="N31" s="366"/>
      <c r="O31" s="180"/>
      <c r="P31" s="366"/>
      <c r="Q31" s="180"/>
      <c r="R31" s="366"/>
      <c r="S31" s="180"/>
      <c r="T31" s="366"/>
      <c r="U31" s="180">
        <v>70</v>
      </c>
      <c r="V31" s="378">
        <f t="shared" si="5"/>
        <v>1.66270783847981E-2</v>
      </c>
      <c r="W31" s="180">
        <v>561</v>
      </c>
      <c r="X31" s="378">
        <f t="shared" si="6"/>
        <v>0.1332541567695962</v>
      </c>
      <c r="Y31" s="180"/>
      <c r="Z31" s="366"/>
      <c r="AA31" s="180">
        <v>3509</v>
      </c>
      <c r="AB31" s="378">
        <f t="shared" si="7"/>
        <v>0.83349168646080762</v>
      </c>
      <c r="AC31" s="177"/>
      <c r="AD31" s="365"/>
      <c r="AE31" s="180">
        <f t="shared" si="4"/>
        <v>4210.1665083135395</v>
      </c>
    </row>
    <row r="32" spans="1:35" x14ac:dyDescent="0.5">
      <c r="A32" s="170"/>
      <c r="B32" s="171">
        <v>6200</v>
      </c>
      <c r="C32" s="199" t="s">
        <v>121</v>
      </c>
      <c r="D32" s="199"/>
      <c r="E32" s="181">
        <v>28402</v>
      </c>
      <c r="F32" s="181"/>
      <c r="G32" s="180">
        <v>22651</v>
      </c>
      <c r="H32" s="180"/>
      <c r="J32" s="183"/>
      <c r="K32" s="179">
        <v>604</v>
      </c>
      <c r="L32" s="355">
        <f>K32/E32</f>
        <v>2.1266108020561933E-2</v>
      </c>
      <c r="M32" s="180"/>
      <c r="N32" s="366"/>
      <c r="O32" s="180"/>
      <c r="P32" s="366"/>
      <c r="Q32" s="180"/>
      <c r="R32" s="366"/>
      <c r="S32" s="180"/>
      <c r="T32" s="366"/>
      <c r="U32" s="180">
        <v>604</v>
      </c>
      <c r="V32" s="378">
        <f t="shared" si="5"/>
        <v>2.1266108020561933E-2</v>
      </c>
      <c r="W32" s="180">
        <v>4835</v>
      </c>
      <c r="X32" s="378">
        <f t="shared" si="6"/>
        <v>0.17023449052883599</v>
      </c>
      <c r="Y32" s="180"/>
      <c r="Z32" s="366"/>
      <c r="AA32" s="180">
        <v>22359</v>
      </c>
      <c r="AB32" s="378">
        <f t="shared" si="7"/>
        <v>0.78723329343004012</v>
      </c>
      <c r="AC32" s="177"/>
      <c r="AD32" s="365"/>
      <c r="AE32" s="180">
        <f t="shared" si="4"/>
        <v>28402.212766706569</v>
      </c>
    </row>
    <row r="33" spans="1:31" x14ac:dyDescent="0.5">
      <c r="A33" s="170"/>
      <c r="B33" s="171">
        <v>6210</v>
      </c>
      <c r="C33" s="199" t="s">
        <v>122</v>
      </c>
      <c r="D33" s="199"/>
      <c r="E33" s="181">
        <v>43204</v>
      </c>
      <c r="F33" s="181"/>
      <c r="G33" s="180">
        <v>28968</v>
      </c>
      <c r="H33" s="180"/>
      <c r="J33" s="183"/>
      <c r="K33" s="179">
        <v>793</v>
      </c>
      <c r="L33" s="355">
        <f>K33/E33</f>
        <v>1.8354781964632905E-2</v>
      </c>
      <c r="M33" s="180"/>
      <c r="N33" s="366"/>
      <c r="O33" s="180"/>
      <c r="P33" s="366"/>
      <c r="Q33" s="180"/>
      <c r="R33" s="366"/>
      <c r="S33" s="180"/>
      <c r="T33" s="366"/>
      <c r="U33" s="180">
        <v>793</v>
      </c>
      <c r="V33" s="378">
        <f t="shared" si="5"/>
        <v>1.8354781964632905E-2</v>
      </c>
      <c r="W33" s="180">
        <v>6342</v>
      </c>
      <c r="X33" s="378">
        <f t="shared" si="6"/>
        <v>0.14679196370706415</v>
      </c>
      <c r="Y33" s="180"/>
      <c r="Z33" s="366"/>
      <c r="AA33" s="180">
        <v>35276</v>
      </c>
      <c r="AB33" s="378">
        <f t="shared" si="7"/>
        <v>0.81649847236367001</v>
      </c>
      <c r="AC33" s="177"/>
      <c r="AD33" s="365"/>
      <c r="AE33" s="180">
        <f t="shared" si="4"/>
        <v>43204.183501527637</v>
      </c>
    </row>
    <row r="34" spans="1:31" x14ac:dyDescent="0.5">
      <c r="A34" s="170"/>
      <c r="B34" s="171">
        <v>6215</v>
      </c>
      <c r="C34" s="199" t="s">
        <v>123</v>
      </c>
      <c r="D34" s="199"/>
      <c r="E34" s="181">
        <v>640</v>
      </c>
      <c r="F34" s="181"/>
      <c r="G34" s="185">
        <v>1954</v>
      </c>
      <c r="H34" s="180"/>
      <c r="J34" s="183"/>
      <c r="K34" s="186">
        <v>12</v>
      </c>
      <c r="L34" s="355">
        <f>K34/E34</f>
        <v>1.8749999999999999E-2</v>
      </c>
      <c r="M34" s="185"/>
      <c r="N34" s="369"/>
      <c r="O34" s="185"/>
      <c r="P34" s="369"/>
      <c r="Q34" s="185"/>
      <c r="R34" s="369"/>
      <c r="S34" s="185"/>
      <c r="T34" s="369"/>
      <c r="U34" s="185">
        <v>12</v>
      </c>
      <c r="V34" s="378">
        <f t="shared" si="5"/>
        <v>1.8749999999999999E-2</v>
      </c>
      <c r="W34" s="185">
        <v>94</v>
      </c>
      <c r="X34" s="378">
        <f t="shared" si="6"/>
        <v>0.14687500000000001</v>
      </c>
      <c r="Y34" s="185"/>
      <c r="Z34" s="369"/>
      <c r="AA34" s="185">
        <v>522</v>
      </c>
      <c r="AB34" s="378">
        <f t="shared" si="7"/>
        <v>0.81562500000000004</v>
      </c>
      <c r="AC34" s="200"/>
      <c r="AD34" s="375"/>
      <c r="AE34" s="185">
        <f t="shared" si="4"/>
        <v>640.18437500000005</v>
      </c>
    </row>
    <row r="35" spans="1:31" s="207" customFormat="1" ht="18" x14ac:dyDescent="0.55000000000000004">
      <c r="A35" s="201"/>
      <c r="B35" s="171"/>
      <c r="C35" s="165" t="s">
        <v>124</v>
      </c>
      <c r="D35" s="165"/>
      <c r="E35" s="202">
        <f>SUM(E28:E34)</f>
        <v>523980</v>
      </c>
      <c r="F35" s="202"/>
      <c r="G35" s="203">
        <f>SUM(G28:G34)</f>
        <v>286081</v>
      </c>
      <c r="H35" s="203"/>
      <c r="I35" s="204">
        <f>SUM(E28:E34)</f>
        <v>523980</v>
      </c>
      <c r="J35" s="205"/>
      <c r="K35" s="206">
        <f>SUM(K28:K34)</f>
        <v>109489</v>
      </c>
      <c r="L35" s="356"/>
      <c r="M35" s="206">
        <f t="shared" ref="M35:AE35" si="8">SUM(M28:M34)</f>
        <v>0</v>
      </c>
      <c r="N35" s="356"/>
      <c r="O35" s="206">
        <f t="shared" si="8"/>
        <v>0</v>
      </c>
      <c r="P35" s="356"/>
      <c r="Q35" s="206">
        <f t="shared" si="8"/>
        <v>0</v>
      </c>
      <c r="R35" s="356"/>
      <c r="S35" s="206">
        <f t="shared" si="8"/>
        <v>0</v>
      </c>
      <c r="T35" s="356"/>
      <c r="U35" s="206">
        <f>SUM(U28:U34)</f>
        <v>7489</v>
      </c>
      <c r="V35" s="356"/>
      <c r="W35" s="206">
        <f t="shared" si="8"/>
        <v>59908</v>
      </c>
      <c r="X35" s="356"/>
      <c r="Y35" s="206">
        <f t="shared" si="8"/>
        <v>0</v>
      </c>
      <c r="Z35" s="356"/>
      <c r="AA35" s="206">
        <f t="shared" si="8"/>
        <v>347094</v>
      </c>
      <c r="AB35" s="356"/>
      <c r="AC35" s="206"/>
      <c r="AD35" s="356"/>
      <c r="AE35" s="206">
        <f t="shared" si="8"/>
        <v>523981.3026298625</v>
      </c>
    </row>
    <row r="36" spans="1:31" ht="15.4" x14ac:dyDescent="0.45">
      <c r="A36" s="170"/>
      <c r="B36" s="171"/>
      <c r="C36" s="208"/>
      <c r="D36" s="208"/>
      <c r="E36" s="209"/>
      <c r="F36" s="209"/>
      <c r="G36" s="196"/>
      <c r="H36" s="196"/>
      <c r="I36" s="209"/>
      <c r="J36" s="209"/>
      <c r="K36" s="211"/>
      <c r="L36" s="357"/>
      <c r="M36" s="52"/>
      <c r="N36" s="370"/>
      <c r="O36" s="52"/>
      <c r="P36" s="370"/>
      <c r="Q36" s="52"/>
      <c r="R36" s="370"/>
      <c r="S36" s="52"/>
      <c r="T36" s="370"/>
      <c r="U36" s="52"/>
      <c r="V36" s="370"/>
      <c r="W36" s="52"/>
      <c r="X36" s="370"/>
      <c r="Y36" s="52"/>
      <c r="Z36" s="370"/>
      <c r="AA36" s="52"/>
      <c r="AB36" s="370"/>
      <c r="AC36" s="52"/>
      <c r="AD36" s="370"/>
      <c r="AE36" s="198" t="s">
        <v>0</v>
      </c>
    </row>
    <row r="37" spans="1:31" ht="15.4" x14ac:dyDescent="0.45">
      <c r="A37" s="170"/>
      <c r="B37" s="171"/>
      <c r="C37" s="172"/>
      <c r="D37" s="172"/>
      <c r="E37" s="195"/>
      <c r="F37" s="195"/>
      <c r="G37" s="196"/>
      <c r="H37" s="196"/>
      <c r="I37" s="195"/>
      <c r="J37" s="195"/>
      <c r="K37" s="212"/>
      <c r="L37" s="358"/>
      <c r="M37" s="52"/>
      <c r="N37" s="370"/>
      <c r="O37" s="52"/>
      <c r="P37" s="370"/>
      <c r="Q37" s="52"/>
      <c r="R37" s="370"/>
      <c r="S37" s="52"/>
      <c r="T37" s="370"/>
      <c r="U37" s="52"/>
      <c r="V37" s="370"/>
      <c r="W37" s="52"/>
      <c r="X37" s="370"/>
      <c r="Y37" s="52"/>
      <c r="Z37" s="370"/>
      <c r="AA37" s="52"/>
      <c r="AB37" s="370"/>
      <c r="AC37" s="52"/>
      <c r="AD37" s="370"/>
      <c r="AE37" s="198" t="s">
        <v>0</v>
      </c>
    </row>
    <row r="38" spans="1:31" x14ac:dyDescent="0.5">
      <c r="A38" s="170"/>
      <c r="B38" s="171">
        <v>6300</v>
      </c>
      <c r="C38" s="213" t="s">
        <v>125</v>
      </c>
      <c r="D38" s="213"/>
      <c r="E38" s="214">
        <v>12000</v>
      </c>
      <c r="F38" s="214"/>
      <c r="G38" s="177">
        <v>5000</v>
      </c>
      <c r="H38" s="177"/>
      <c r="J38" s="183"/>
      <c r="K38" s="176">
        <v>12000</v>
      </c>
      <c r="L38" s="355">
        <f t="shared" ref="L38:L44" si="9">K38/E38</f>
        <v>1</v>
      </c>
      <c r="M38" s="177"/>
      <c r="N38" s="365"/>
      <c r="O38" s="177"/>
      <c r="P38" s="365"/>
      <c r="Q38" s="177" t="s">
        <v>0</v>
      </c>
      <c r="R38" s="365"/>
      <c r="S38" s="177"/>
      <c r="T38" s="365"/>
      <c r="U38" s="177"/>
      <c r="V38" s="365"/>
      <c r="W38" s="177" t="s">
        <v>0</v>
      </c>
      <c r="X38" s="365"/>
      <c r="Y38" s="177"/>
      <c r="Z38" s="365"/>
      <c r="AA38" s="177"/>
      <c r="AB38" s="365"/>
      <c r="AC38" s="177"/>
      <c r="AD38" s="365"/>
      <c r="AE38" s="177">
        <f t="shared" ref="AE38:AE50" si="10">SUM(K38:AA38)</f>
        <v>12001</v>
      </c>
    </row>
    <row r="39" spans="1:31" x14ac:dyDescent="0.5">
      <c r="A39" s="170"/>
      <c r="B39" s="171">
        <v>6310</v>
      </c>
      <c r="C39" s="213" t="s">
        <v>126</v>
      </c>
      <c r="D39" s="213"/>
      <c r="E39" s="181">
        <v>20000</v>
      </c>
      <c r="F39" s="181"/>
      <c r="G39" s="180">
        <v>0</v>
      </c>
      <c r="H39" s="180"/>
      <c r="J39" s="183"/>
      <c r="K39" s="179">
        <v>11000</v>
      </c>
      <c r="L39" s="355">
        <f t="shared" si="9"/>
        <v>0.55000000000000004</v>
      </c>
      <c r="M39" s="180"/>
      <c r="N39" s="366"/>
      <c r="O39" s="180"/>
      <c r="P39" s="366"/>
      <c r="Q39" s="180">
        <v>0</v>
      </c>
      <c r="R39" s="366"/>
      <c r="S39" s="180"/>
      <c r="T39" s="366"/>
      <c r="U39" s="180"/>
      <c r="V39" s="366"/>
      <c r="W39" s="180">
        <v>3200</v>
      </c>
      <c r="X39" s="366"/>
      <c r="Y39" s="180"/>
      <c r="Z39" s="366"/>
      <c r="AA39" s="180">
        <v>5800</v>
      </c>
      <c r="AB39" s="366"/>
      <c r="AC39" s="180"/>
      <c r="AD39" s="366"/>
      <c r="AE39" s="180">
        <f t="shared" si="10"/>
        <v>20000.55</v>
      </c>
    </row>
    <row r="40" spans="1:31" x14ac:dyDescent="0.5">
      <c r="A40" s="170"/>
      <c r="B40" s="171">
        <v>6320</v>
      </c>
      <c r="C40" s="199" t="s">
        <v>127</v>
      </c>
      <c r="D40" s="199"/>
      <c r="E40" s="181">
        <v>48500</v>
      </c>
      <c r="F40" s="181"/>
      <c r="G40" s="180">
        <v>30078</v>
      </c>
      <c r="H40" s="180"/>
      <c r="J40" s="183"/>
      <c r="K40" s="179">
        <v>24500</v>
      </c>
      <c r="L40" s="355">
        <f t="shared" si="9"/>
        <v>0.50515463917525771</v>
      </c>
      <c r="M40" s="180"/>
      <c r="N40" s="366"/>
      <c r="O40" s="180"/>
      <c r="P40" s="366"/>
      <c r="Q40" s="180"/>
      <c r="R40" s="366"/>
      <c r="S40" s="180"/>
      <c r="T40" s="366"/>
      <c r="U40" s="180"/>
      <c r="V40" s="366"/>
      <c r="W40" s="180"/>
      <c r="X40" s="366"/>
      <c r="Y40" s="180"/>
      <c r="Z40" s="366"/>
      <c r="AA40" s="180">
        <v>24000</v>
      </c>
      <c r="AB40" s="366"/>
      <c r="AC40" s="180"/>
      <c r="AD40" s="366"/>
      <c r="AE40" s="180">
        <f t="shared" si="10"/>
        <v>48500.505154639177</v>
      </c>
    </row>
    <row r="41" spans="1:31" x14ac:dyDescent="0.5">
      <c r="A41" s="170"/>
      <c r="B41" s="171">
        <v>6330</v>
      </c>
      <c r="C41" s="172" t="s">
        <v>128</v>
      </c>
      <c r="D41" s="172"/>
      <c r="E41" s="181">
        <f>3000*12</f>
        <v>36000</v>
      </c>
      <c r="F41" s="181"/>
      <c r="G41" s="180">
        <v>30000</v>
      </c>
      <c r="H41" s="180"/>
      <c r="J41" s="183"/>
      <c r="K41" s="179">
        <f>+E41</f>
        <v>36000</v>
      </c>
      <c r="L41" s="355">
        <f t="shared" si="9"/>
        <v>1</v>
      </c>
      <c r="M41" s="180"/>
      <c r="N41" s="366"/>
      <c r="O41" s="180"/>
      <c r="P41" s="366"/>
      <c r="Q41" s="180"/>
      <c r="R41" s="366"/>
      <c r="S41" s="180"/>
      <c r="T41" s="366"/>
      <c r="U41" s="180"/>
      <c r="V41" s="366"/>
      <c r="W41" s="180"/>
      <c r="X41" s="366"/>
      <c r="Y41" s="180"/>
      <c r="Z41" s="366"/>
      <c r="AA41" s="180"/>
      <c r="AB41" s="366"/>
      <c r="AC41" s="180"/>
      <c r="AD41" s="366"/>
      <c r="AE41" s="180">
        <f t="shared" si="10"/>
        <v>36001</v>
      </c>
    </row>
    <row r="42" spans="1:31" x14ac:dyDescent="0.5">
      <c r="A42" s="170"/>
      <c r="B42" s="171">
        <v>6340</v>
      </c>
      <c r="C42" s="172" t="s">
        <v>129</v>
      </c>
      <c r="D42" s="172"/>
      <c r="E42" s="181">
        <v>5000</v>
      </c>
      <c r="F42" s="181"/>
      <c r="G42" s="180">
        <v>3071</v>
      </c>
      <c r="H42" s="180"/>
      <c r="J42" s="183"/>
      <c r="K42" s="179">
        <f>E42*25%</f>
        <v>1250</v>
      </c>
      <c r="L42" s="355">
        <f t="shared" si="9"/>
        <v>0.25</v>
      </c>
      <c r="M42" s="180"/>
      <c r="N42" s="366"/>
      <c r="O42" s="180"/>
      <c r="P42" s="366"/>
      <c r="Q42" s="180"/>
      <c r="R42" s="366"/>
      <c r="S42" s="180"/>
      <c r="T42" s="366"/>
      <c r="U42" s="180" t="s">
        <v>0</v>
      </c>
      <c r="V42" s="366"/>
      <c r="W42" s="180">
        <f>5000*11%</f>
        <v>550</v>
      </c>
      <c r="X42" s="378">
        <f>W42/E42</f>
        <v>0.11</v>
      </c>
      <c r="Y42" s="180"/>
      <c r="Z42" s="366"/>
      <c r="AA42" s="180">
        <v>3200</v>
      </c>
      <c r="AB42" s="366"/>
      <c r="AC42" s="180"/>
      <c r="AD42" s="366"/>
      <c r="AE42" s="180">
        <f t="shared" si="10"/>
        <v>5000.3599999999997</v>
      </c>
    </row>
    <row r="43" spans="1:31" x14ac:dyDescent="0.5">
      <c r="A43" s="170"/>
      <c r="B43" s="171">
        <v>6350</v>
      </c>
      <c r="C43" s="213" t="s">
        <v>130</v>
      </c>
      <c r="D43" s="213"/>
      <c r="E43" s="181">
        <v>76000</v>
      </c>
      <c r="F43" s="181"/>
      <c r="G43" s="180">
        <f>41171-9835</f>
        <v>31336</v>
      </c>
      <c r="H43" s="180"/>
      <c r="J43" s="183"/>
      <c r="K43" s="179">
        <v>76000</v>
      </c>
      <c r="L43" s="355">
        <f t="shared" si="9"/>
        <v>1</v>
      </c>
      <c r="M43" s="180"/>
      <c r="N43" s="366"/>
      <c r="O43" s="180"/>
      <c r="P43" s="366"/>
      <c r="Q43" s="180"/>
      <c r="R43" s="366"/>
      <c r="S43" s="180"/>
      <c r="T43" s="366"/>
      <c r="U43" s="180"/>
      <c r="V43" s="366"/>
      <c r="W43" s="180"/>
      <c r="X43" s="366"/>
      <c r="Y43" s="180"/>
      <c r="Z43" s="366"/>
      <c r="AA43" s="180"/>
      <c r="AB43" s="366"/>
      <c r="AC43" s="180"/>
      <c r="AD43" s="366"/>
      <c r="AE43" s="180">
        <f t="shared" si="10"/>
        <v>76001</v>
      </c>
    </row>
    <row r="44" spans="1:31" x14ac:dyDescent="0.5">
      <c r="A44" s="170"/>
      <c r="B44" s="171">
        <v>6360</v>
      </c>
      <c r="C44" s="199" t="s">
        <v>131</v>
      </c>
      <c r="D44" s="199"/>
      <c r="E44" s="181">
        <v>40000</v>
      </c>
      <c r="F44" s="181"/>
      <c r="G44" s="180">
        <v>20365</v>
      </c>
      <c r="H44" s="180"/>
      <c r="J44" s="183"/>
      <c r="K44" s="179">
        <v>4750</v>
      </c>
      <c r="L44" s="355">
        <f t="shared" si="9"/>
        <v>0.11874999999999999</v>
      </c>
      <c r="M44" s="180"/>
      <c r="N44" s="366"/>
      <c r="O44" s="180"/>
      <c r="P44" s="366"/>
      <c r="Q44" s="180"/>
      <c r="R44" s="366"/>
      <c r="S44" s="180"/>
      <c r="T44" s="366"/>
      <c r="U44" s="180" t="s">
        <v>0</v>
      </c>
      <c r="V44" s="366"/>
      <c r="W44" s="180">
        <v>2090</v>
      </c>
      <c r="X44" s="378">
        <f>W44/E44</f>
        <v>5.2249999999999998E-2</v>
      </c>
      <c r="Y44" s="180"/>
      <c r="Z44" s="366"/>
      <c r="AA44" s="180">
        <v>33160</v>
      </c>
      <c r="AB44" s="366"/>
      <c r="AC44" s="180"/>
      <c r="AD44" s="366"/>
      <c r="AE44" s="180">
        <f t="shared" si="10"/>
        <v>40000.171000000002</v>
      </c>
    </row>
    <row r="45" spans="1:31" x14ac:dyDescent="0.5">
      <c r="A45" s="170"/>
      <c r="B45" s="171">
        <v>6365</v>
      </c>
      <c r="C45" s="199" t="s">
        <v>132</v>
      </c>
      <c r="D45" s="199"/>
      <c r="E45" s="181">
        <v>17000</v>
      </c>
      <c r="F45" s="181"/>
      <c r="G45" s="180">
        <v>9835</v>
      </c>
      <c r="H45" s="180"/>
      <c r="J45" s="183"/>
      <c r="K45" s="179">
        <v>0</v>
      </c>
      <c r="L45" s="355" t="s">
        <v>0</v>
      </c>
      <c r="M45" s="180"/>
      <c r="N45" s="366"/>
      <c r="O45" s="180"/>
      <c r="P45" s="366"/>
      <c r="Q45" s="180"/>
      <c r="R45" s="366"/>
      <c r="S45" s="180"/>
      <c r="T45" s="366"/>
      <c r="U45" s="180"/>
      <c r="V45" s="366"/>
      <c r="W45" s="180">
        <v>0</v>
      </c>
      <c r="X45" s="366"/>
      <c r="Y45" s="180"/>
      <c r="Z45" s="366"/>
      <c r="AA45" s="180">
        <v>17000</v>
      </c>
      <c r="AB45" s="366"/>
      <c r="AC45" s="180"/>
      <c r="AD45" s="366"/>
      <c r="AE45" s="180">
        <f t="shared" si="10"/>
        <v>17000</v>
      </c>
    </row>
    <row r="46" spans="1:31" x14ac:dyDescent="0.5">
      <c r="A46" s="170"/>
      <c r="B46" s="171">
        <v>6370</v>
      </c>
      <c r="C46" s="199" t="s">
        <v>133</v>
      </c>
      <c r="D46" s="199"/>
      <c r="E46" s="181">
        <v>2550</v>
      </c>
      <c r="F46" s="181"/>
      <c r="G46" s="180">
        <v>1428</v>
      </c>
      <c r="H46" s="180"/>
      <c r="J46" s="183"/>
      <c r="K46" s="179">
        <v>0</v>
      </c>
      <c r="L46" s="355" t="s">
        <v>0</v>
      </c>
      <c r="M46" s="180"/>
      <c r="N46" s="366"/>
      <c r="O46" s="180"/>
      <c r="P46" s="366"/>
      <c r="Q46" s="180"/>
      <c r="R46" s="366"/>
      <c r="S46" s="180"/>
      <c r="T46" s="366"/>
      <c r="U46" s="180"/>
      <c r="V46" s="366"/>
      <c r="W46" s="180"/>
      <c r="X46" s="366"/>
      <c r="Y46" s="180"/>
      <c r="Z46" s="366"/>
      <c r="AA46" s="180">
        <v>2550</v>
      </c>
      <c r="AB46" s="366"/>
      <c r="AC46" s="180"/>
      <c r="AD46" s="366"/>
      <c r="AE46" s="180">
        <f t="shared" si="10"/>
        <v>2550</v>
      </c>
    </row>
    <row r="47" spans="1:31" x14ac:dyDescent="0.5">
      <c r="A47" s="170"/>
      <c r="B47" s="171">
        <v>6375</v>
      </c>
      <c r="C47" s="199" t="s">
        <v>134</v>
      </c>
      <c r="D47" s="199"/>
      <c r="E47" s="181">
        <v>164000</v>
      </c>
      <c r="F47" s="181"/>
      <c r="G47" s="180">
        <v>95862</v>
      </c>
      <c r="H47" s="180"/>
      <c r="J47" s="183"/>
      <c r="K47" s="179"/>
      <c r="L47" s="351"/>
      <c r="M47" s="180">
        <v>0</v>
      </c>
      <c r="N47" s="366"/>
      <c r="O47" s="180"/>
      <c r="P47" s="366"/>
      <c r="Q47" s="180"/>
      <c r="R47" s="366"/>
      <c r="S47" s="180"/>
      <c r="T47" s="366"/>
      <c r="U47" s="180"/>
      <c r="V47" s="366"/>
      <c r="W47" s="180"/>
      <c r="X47" s="366"/>
      <c r="Y47" s="180"/>
      <c r="Z47" s="366"/>
      <c r="AA47" s="180">
        <v>164000</v>
      </c>
      <c r="AB47" s="366"/>
      <c r="AC47" s="180"/>
      <c r="AD47" s="366"/>
      <c r="AE47" s="180">
        <f t="shared" si="10"/>
        <v>164000</v>
      </c>
    </row>
    <row r="48" spans="1:31" x14ac:dyDescent="0.5">
      <c r="A48" s="170"/>
      <c r="B48" s="171">
        <v>6380</v>
      </c>
      <c r="C48" s="172" t="s">
        <v>135</v>
      </c>
      <c r="D48" s="172"/>
      <c r="E48" s="181">
        <v>514700</v>
      </c>
      <c r="F48" s="181"/>
      <c r="G48" s="180">
        <v>220355</v>
      </c>
      <c r="H48" s="180"/>
      <c r="J48" s="183"/>
      <c r="K48" s="179"/>
      <c r="L48" s="351"/>
      <c r="M48" s="180">
        <v>156500</v>
      </c>
      <c r="N48" s="378">
        <f>M48/E48</f>
        <v>0.30406061783563243</v>
      </c>
      <c r="O48" s="180">
        <v>144000</v>
      </c>
      <c r="P48" s="378">
        <f>O48/E48</f>
        <v>0.27977462599572567</v>
      </c>
      <c r="Q48" s="180">
        <v>203000</v>
      </c>
      <c r="R48" s="378">
        <f>Q48/E48</f>
        <v>0.39440450748008549</v>
      </c>
      <c r="S48" s="180">
        <v>11200</v>
      </c>
      <c r="T48" s="378">
        <f>S48/E48</f>
        <v>2.176024868855644E-2</v>
      </c>
      <c r="U48" s="180"/>
      <c r="V48" s="366"/>
      <c r="W48" s="180"/>
      <c r="X48" s="366"/>
      <c r="Y48" s="180"/>
      <c r="Z48" s="366"/>
      <c r="AA48" s="180"/>
      <c r="AB48" s="366"/>
      <c r="AC48" s="180"/>
      <c r="AD48" s="366"/>
      <c r="AE48" s="180">
        <f t="shared" si="10"/>
        <v>514701</v>
      </c>
    </row>
    <row r="49" spans="1:31" x14ac:dyDescent="0.5">
      <c r="A49" s="170"/>
      <c r="B49" s="171">
        <v>6390</v>
      </c>
      <c r="C49" s="199" t="s">
        <v>136</v>
      </c>
      <c r="D49" s="199"/>
      <c r="E49" s="181">
        <v>93000</v>
      </c>
      <c r="F49" s="181"/>
      <c r="G49" s="185">
        <v>36963</v>
      </c>
      <c r="H49" s="180"/>
      <c r="J49" s="183"/>
      <c r="K49" s="186"/>
      <c r="L49" s="352"/>
      <c r="M49" s="185"/>
      <c r="N49" s="369"/>
      <c r="O49" s="185"/>
      <c r="P49" s="369"/>
      <c r="Q49" s="185"/>
      <c r="R49" s="369"/>
      <c r="S49" s="185"/>
      <c r="T49" s="369"/>
      <c r="U49" s="185"/>
      <c r="V49" s="369"/>
      <c r="W49" s="185"/>
      <c r="X49" s="369"/>
      <c r="Y49" s="185">
        <v>93000</v>
      </c>
      <c r="Z49" s="379">
        <f>Y49/E49</f>
        <v>1</v>
      </c>
      <c r="AA49" s="185"/>
      <c r="AB49" s="369"/>
      <c r="AC49" s="185"/>
      <c r="AD49" s="369"/>
      <c r="AE49" s="185">
        <f t="shared" si="10"/>
        <v>93001</v>
      </c>
    </row>
    <row r="50" spans="1:31" ht="15.4" x14ac:dyDescent="0.45">
      <c r="A50" s="170"/>
      <c r="B50" s="171"/>
      <c r="C50" s="165" t="s">
        <v>137</v>
      </c>
      <c r="D50" s="165"/>
      <c r="E50" s="202">
        <f>SUM(E38:E49)</f>
        <v>1028750</v>
      </c>
      <c r="F50" s="202"/>
      <c r="G50" s="203">
        <f>SUM(G38:G49)</f>
        <v>484293</v>
      </c>
      <c r="H50" s="203"/>
      <c r="I50" s="204">
        <f>SUM(E38:E49)</f>
        <v>1028750</v>
      </c>
      <c r="J50" s="215"/>
      <c r="K50" s="206">
        <f>SUM(K38:K49)</f>
        <v>165500</v>
      </c>
      <c r="L50" s="356"/>
      <c r="M50" s="206">
        <f t="shared" ref="M50:AC50" si="11">SUM(M38:M49)</f>
        <v>156500</v>
      </c>
      <c r="N50" s="356"/>
      <c r="O50" s="206">
        <f t="shared" si="11"/>
        <v>144000</v>
      </c>
      <c r="P50" s="356"/>
      <c r="Q50" s="206">
        <f t="shared" si="11"/>
        <v>203000</v>
      </c>
      <c r="R50" s="356"/>
      <c r="S50" s="206">
        <f t="shared" si="11"/>
        <v>11200</v>
      </c>
      <c r="T50" s="356"/>
      <c r="U50" s="206">
        <f t="shared" si="11"/>
        <v>0</v>
      </c>
      <c r="V50" s="356"/>
      <c r="W50" s="206">
        <f t="shared" si="11"/>
        <v>5840</v>
      </c>
      <c r="X50" s="356"/>
      <c r="Y50" s="206">
        <f t="shared" si="11"/>
        <v>93000</v>
      </c>
      <c r="Z50" s="356"/>
      <c r="AA50" s="206">
        <f t="shared" si="11"/>
        <v>249710</v>
      </c>
      <c r="AB50" s="356"/>
      <c r="AC50" s="206">
        <f t="shared" si="11"/>
        <v>0</v>
      </c>
      <c r="AD50" s="356"/>
      <c r="AE50" s="203">
        <f t="shared" si="10"/>
        <v>1028750</v>
      </c>
    </row>
    <row r="51" spans="1:31" ht="15.4" x14ac:dyDescent="0.45">
      <c r="A51" s="216"/>
      <c r="B51" s="171"/>
      <c r="C51" s="172"/>
      <c r="D51" s="172"/>
      <c r="E51" s="195"/>
      <c r="F51" s="195"/>
      <c r="G51" s="196"/>
      <c r="H51" s="196"/>
      <c r="I51" s="195"/>
      <c r="J51" s="195"/>
      <c r="K51" s="212"/>
      <c r="L51" s="358"/>
      <c r="M51" s="52"/>
      <c r="N51" s="370"/>
      <c r="O51" s="52"/>
      <c r="P51" s="370"/>
      <c r="Q51" s="52"/>
      <c r="R51" s="370"/>
      <c r="S51" s="52"/>
      <c r="T51" s="370"/>
      <c r="U51" s="52"/>
      <c r="V51" s="370"/>
      <c r="W51" s="52"/>
      <c r="X51" s="370"/>
      <c r="Y51" s="52"/>
      <c r="Z51" s="370"/>
      <c r="AA51" s="52"/>
      <c r="AB51" s="370"/>
      <c r="AC51" s="52"/>
      <c r="AD51" s="370"/>
      <c r="AE51" s="198" t="s">
        <v>0</v>
      </c>
    </row>
    <row r="52" spans="1:31" ht="15.4" x14ac:dyDescent="0.45">
      <c r="A52" s="216"/>
      <c r="B52" s="171"/>
      <c r="C52" s="172"/>
      <c r="D52" s="172"/>
      <c r="E52" s="195"/>
      <c r="F52" s="195"/>
      <c r="G52" s="196"/>
      <c r="H52" s="196"/>
      <c r="I52" s="195"/>
      <c r="J52" s="195"/>
      <c r="K52" s="212"/>
      <c r="L52" s="358"/>
      <c r="M52" s="52"/>
      <c r="N52" s="370"/>
      <c r="O52" s="52"/>
      <c r="P52" s="370"/>
      <c r="Q52" s="52"/>
      <c r="R52" s="370"/>
      <c r="S52" s="52"/>
      <c r="T52" s="370"/>
      <c r="U52" s="52"/>
      <c r="V52" s="370"/>
      <c r="W52" s="52"/>
      <c r="X52" s="370"/>
      <c r="Y52" s="52"/>
      <c r="Z52" s="370"/>
      <c r="AA52" s="52"/>
      <c r="AB52" s="370"/>
      <c r="AC52" s="52"/>
      <c r="AD52" s="370"/>
      <c r="AE52" s="198" t="s">
        <v>0</v>
      </c>
    </row>
    <row r="53" spans="1:31" x14ac:dyDescent="0.5">
      <c r="A53" s="216"/>
      <c r="B53" s="171">
        <v>6400</v>
      </c>
      <c r="C53" s="172" t="s">
        <v>138</v>
      </c>
      <c r="D53" s="172"/>
      <c r="E53" s="214">
        <v>1000</v>
      </c>
      <c r="F53" s="214"/>
      <c r="G53" s="177">
        <v>1485</v>
      </c>
      <c r="H53" s="177"/>
      <c r="J53" s="183"/>
      <c r="K53" s="176">
        <v>800</v>
      </c>
      <c r="L53" s="355">
        <f>K53/E53</f>
        <v>0.8</v>
      </c>
      <c r="M53" s="52"/>
      <c r="N53" s="370"/>
      <c r="O53" s="52"/>
      <c r="P53" s="370"/>
      <c r="Q53" s="52"/>
      <c r="R53" s="370"/>
      <c r="S53" s="52"/>
      <c r="T53" s="370"/>
      <c r="U53" s="177"/>
      <c r="V53" s="365"/>
      <c r="W53" s="177">
        <f>E53*10%</f>
        <v>100</v>
      </c>
      <c r="X53" s="378">
        <f>W53/E53</f>
        <v>0.1</v>
      </c>
      <c r="Y53" s="177"/>
      <c r="Z53" s="365"/>
      <c r="AA53" s="177">
        <f>10%*E53</f>
        <v>100</v>
      </c>
      <c r="AB53" s="378">
        <f>AA53/E53</f>
        <v>0.1</v>
      </c>
      <c r="AC53" s="177"/>
      <c r="AD53" s="365"/>
      <c r="AE53" s="177">
        <f t="shared" ref="AE53:AE60" si="12">SUM(K53:AA53)</f>
        <v>1000.9</v>
      </c>
    </row>
    <row r="54" spans="1:31" x14ac:dyDescent="0.5">
      <c r="A54" s="216"/>
      <c r="B54" s="171">
        <v>6410</v>
      </c>
      <c r="C54" s="172" t="s">
        <v>139</v>
      </c>
      <c r="D54" s="172"/>
      <c r="E54" s="181">
        <v>1000</v>
      </c>
      <c r="F54" s="181"/>
      <c r="G54" s="180">
        <v>675</v>
      </c>
      <c r="H54" s="180"/>
      <c r="J54" s="183"/>
      <c r="K54" s="179">
        <v>800</v>
      </c>
      <c r="L54" s="355">
        <f t="shared" ref="L54:L60" si="13">K54/E54</f>
        <v>0.8</v>
      </c>
      <c r="M54" s="184"/>
      <c r="N54" s="371"/>
      <c r="O54" s="184"/>
      <c r="P54" s="371"/>
      <c r="Q54" s="184"/>
      <c r="R54" s="371"/>
      <c r="S54" s="184"/>
      <c r="T54" s="371"/>
      <c r="U54" s="180"/>
      <c r="V54" s="366"/>
      <c r="W54" s="180">
        <v>100</v>
      </c>
      <c r="X54" s="378">
        <f t="shared" ref="X54:X58" si="14">W54/E54</f>
        <v>0.1</v>
      </c>
      <c r="Y54" s="180"/>
      <c r="Z54" s="366"/>
      <c r="AA54" s="180">
        <v>100</v>
      </c>
      <c r="AB54" s="378">
        <f t="shared" ref="AB54:AB60" si="15">AA54/E54</f>
        <v>0.1</v>
      </c>
      <c r="AC54" s="180"/>
      <c r="AD54" s="366"/>
      <c r="AE54" s="180">
        <f t="shared" si="12"/>
        <v>1000.9</v>
      </c>
    </row>
    <row r="55" spans="1:31" x14ac:dyDescent="0.5">
      <c r="A55" s="216"/>
      <c r="B55" s="171">
        <v>6415</v>
      </c>
      <c r="C55" s="199" t="s">
        <v>140</v>
      </c>
      <c r="D55" s="199"/>
      <c r="E55" s="181">
        <f>(304.89*12)+(165*12)+61</f>
        <v>5699.68</v>
      </c>
      <c r="F55" s="181"/>
      <c r="G55" s="180">
        <f>2161+883+50</f>
        <v>3094</v>
      </c>
      <c r="H55" s="180"/>
      <c r="J55" s="183"/>
      <c r="K55" s="179">
        <v>1425</v>
      </c>
      <c r="L55" s="355">
        <f t="shared" si="13"/>
        <v>0.25001403587569826</v>
      </c>
      <c r="M55" s="184"/>
      <c r="N55" s="371"/>
      <c r="O55" s="184"/>
      <c r="P55" s="371"/>
      <c r="Q55" s="184" t="s">
        <v>0</v>
      </c>
      <c r="R55" s="371"/>
      <c r="S55" s="184"/>
      <c r="T55" s="371"/>
      <c r="U55" s="180" t="s">
        <v>0</v>
      </c>
      <c r="V55" s="366"/>
      <c r="W55" s="180">
        <v>630</v>
      </c>
      <c r="X55" s="378">
        <f t="shared" si="14"/>
        <v>0.11053252112399292</v>
      </c>
      <c r="Y55" s="180"/>
      <c r="Z55" s="366"/>
      <c r="AA55" s="180">
        <v>3645</v>
      </c>
      <c r="AB55" s="378">
        <f t="shared" si="15"/>
        <v>0.63950958650310186</v>
      </c>
      <c r="AC55" s="180"/>
      <c r="AD55" s="366"/>
      <c r="AE55" s="180">
        <f t="shared" si="12"/>
        <v>5700.3605465569999</v>
      </c>
    </row>
    <row r="56" spans="1:31" x14ac:dyDescent="0.5">
      <c r="A56" s="170"/>
      <c r="B56" s="171">
        <v>6420</v>
      </c>
      <c r="C56" s="172" t="s">
        <v>141</v>
      </c>
      <c r="D56" s="172"/>
      <c r="E56" s="181">
        <v>1000</v>
      </c>
      <c r="F56" s="181"/>
      <c r="G56" s="180">
        <v>653</v>
      </c>
      <c r="H56" s="180"/>
      <c r="J56" s="183"/>
      <c r="K56" s="179">
        <v>1000</v>
      </c>
      <c r="L56" s="355">
        <f t="shared" si="13"/>
        <v>1</v>
      </c>
      <c r="M56" s="184"/>
      <c r="N56" s="371"/>
      <c r="O56" s="184"/>
      <c r="P56" s="371"/>
      <c r="Q56" s="184"/>
      <c r="R56" s="371"/>
      <c r="S56" s="184"/>
      <c r="T56" s="371"/>
      <c r="U56" s="180"/>
      <c r="V56" s="366"/>
      <c r="W56" s="180"/>
      <c r="X56" s="378" t="s">
        <v>0</v>
      </c>
      <c r="Y56" s="180"/>
      <c r="Z56" s="366"/>
      <c r="AA56" s="180"/>
      <c r="AB56" s="378" t="s">
        <v>0</v>
      </c>
      <c r="AC56" s="180"/>
      <c r="AD56" s="366"/>
      <c r="AE56" s="180">
        <f t="shared" si="12"/>
        <v>1001</v>
      </c>
    </row>
    <row r="57" spans="1:31" x14ac:dyDescent="0.5">
      <c r="A57" s="170"/>
      <c r="B57" s="171">
        <v>6425</v>
      </c>
      <c r="C57" s="172" t="s">
        <v>142</v>
      </c>
      <c r="D57" s="172"/>
      <c r="E57" s="181">
        <v>2200</v>
      </c>
      <c r="F57" s="181"/>
      <c r="G57" s="180">
        <f>1008+120</f>
        <v>1128</v>
      </c>
      <c r="H57" s="180"/>
      <c r="J57" s="183"/>
      <c r="K57" s="179">
        <v>2200</v>
      </c>
      <c r="L57" s="355">
        <f t="shared" si="13"/>
        <v>1</v>
      </c>
      <c r="M57" s="184"/>
      <c r="N57" s="371"/>
      <c r="O57" s="184"/>
      <c r="P57" s="371"/>
      <c r="Q57" s="184"/>
      <c r="R57" s="371"/>
      <c r="S57" s="184"/>
      <c r="T57" s="371"/>
      <c r="U57" s="180"/>
      <c r="V57" s="366"/>
      <c r="W57" s="180"/>
      <c r="X57" s="378" t="s">
        <v>0</v>
      </c>
      <c r="Y57" s="180"/>
      <c r="Z57" s="366"/>
      <c r="AA57" s="180"/>
      <c r="AB57" s="378" t="s">
        <v>0</v>
      </c>
      <c r="AC57" s="180"/>
      <c r="AD57" s="366"/>
      <c r="AE57" s="180">
        <f t="shared" si="12"/>
        <v>2201</v>
      </c>
    </row>
    <row r="58" spans="1:31" x14ac:dyDescent="0.5">
      <c r="A58" s="170"/>
      <c r="B58" s="171">
        <v>6430</v>
      </c>
      <c r="C58" s="172" t="s">
        <v>143</v>
      </c>
      <c r="D58" s="172"/>
      <c r="E58" s="181">
        <v>12000</v>
      </c>
      <c r="F58" s="181"/>
      <c r="G58" s="180">
        <v>7334</v>
      </c>
      <c r="H58" s="180"/>
      <c r="J58" s="183"/>
      <c r="K58" s="179">
        <v>7200</v>
      </c>
      <c r="L58" s="355">
        <f t="shared" si="13"/>
        <v>0.6</v>
      </c>
      <c r="M58" s="184"/>
      <c r="N58" s="371"/>
      <c r="O58" s="184"/>
      <c r="P58" s="371"/>
      <c r="Q58" s="184"/>
      <c r="R58" s="371"/>
      <c r="S58" s="184"/>
      <c r="T58" s="371"/>
      <c r="U58" s="180"/>
      <c r="V58" s="366"/>
      <c r="W58" s="180">
        <v>3000</v>
      </c>
      <c r="X58" s="378">
        <f t="shared" si="14"/>
        <v>0.25</v>
      </c>
      <c r="Y58" s="180"/>
      <c r="Z58" s="366"/>
      <c r="AA58" s="180">
        <f>15%*E58</f>
        <v>1800</v>
      </c>
      <c r="AB58" s="378">
        <f t="shared" si="15"/>
        <v>0.15</v>
      </c>
      <c r="AC58" s="180"/>
      <c r="AD58" s="366"/>
      <c r="AE58" s="180">
        <f t="shared" si="12"/>
        <v>12000.85</v>
      </c>
    </row>
    <row r="59" spans="1:31" x14ac:dyDescent="0.5">
      <c r="A59" s="170"/>
      <c r="B59" s="171">
        <v>6435</v>
      </c>
      <c r="C59" s="172" t="s">
        <v>144</v>
      </c>
      <c r="D59" s="172"/>
      <c r="E59" s="181">
        <v>300000</v>
      </c>
      <c r="F59" s="181"/>
      <c r="G59" s="180">
        <v>95913</v>
      </c>
      <c r="H59" s="180"/>
      <c r="J59" s="183"/>
      <c r="K59" s="179">
        <v>500</v>
      </c>
      <c r="L59" s="355">
        <f t="shared" si="13"/>
        <v>1.6666666666666668E-3</v>
      </c>
      <c r="M59" s="184"/>
      <c r="N59" s="371"/>
      <c r="O59" s="184"/>
      <c r="P59" s="371"/>
      <c r="Q59" s="184"/>
      <c r="R59" s="371"/>
      <c r="S59" s="184"/>
      <c r="T59" s="371"/>
      <c r="U59" s="180"/>
      <c r="V59" s="366"/>
      <c r="W59" s="180"/>
      <c r="X59" s="366"/>
      <c r="Y59" s="180"/>
      <c r="Z59" s="366"/>
      <c r="AA59" s="180">
        <v>299500</v>
      </c>
      <c r="AB59" s="378">
        <f t="shared" si="15"/>
        <v>0.99833333333333329</v>
      </c>
      <c r="AC59" s="180"/>
      <c r="AD59" s="366"/>
      <c r="AE59" s="180">
        <f t="shared" si="12"/>
        <v>300000.00166666665</v>
      </c>
    </row>
    <row r="60" spans="1:31" x14ac:dyDescent="0.5">
      <c r="A60" s="170"/>
      <c r="B60" s="171">
        <v>6440</v>
      </c>
      <c r="C60" s="172" t="s">
        <v>145</v>
      </c>
      <c r="D60" s="172"/>
      <c r="E60" s="181">
        <v>74000</v>
      </c>
      <c r="F60" s="181"/>
      <c r="G60" s="185">
        <v>53469</v>
      </c>
      <c r="H60" s="180"/>
      <c r="J60" s="183"/>
      <c r="K60" s="186">
        <v>1000</v>
      </c>
      <c r="L60" s="355">
        <f t="shared" si="13"/>
        <v>1.3513513513513514E-2</v>
      </c>
      <c r="M60" s="187"/>
      <c r="N60" s="367"/>
      <c r="O60" s="187"/>
      <c r="P60" s="367"/>
      <c r="Q60" s="187"/>
      <c r="R60" s="367"/>
      <c r="S60" s="187"/>
      <c r="T60" s="367"/>
      <c r="U60" s="185"/>
      <c r="V60" s="369"/>
      <c r="W60" s="185"/>
      <c r="X60" s="369"/>
      <c r="Y60" s="185"/>
      <c r="Z60" s="369"/>
      <c r="AA60" s="185">
        <v>73000</v>
      </c>
      <c r="AB60" s="378">
        <f t="shared" si="15"/>
        <v>0.98648648648648651</v>
      </c>
      <c r="AC60" s="185"/>
      <c r="AD60" s="369"/>
      <c r="AE60" s="185">
        <f t="shared" si="12"/>
        <v>74000.013513513521</v>
      </c>
    </row>
    <row r="61" spans="1:31" ht="15.4" x14ac:dyDescent="0.45">
      <c r="A61" s="170"/>
      <c r="B61" s="171"/>
      <c r="C61" s="165" t="s">
        <v>146</v>
      </c>
      <c r="D61" s="165"/>
      <c r="E61" s="206">
        <f>SUM(E53:E60)</f>
        <v>396899.68</v>
      </c>
      <c r="F61" s="206"/>
      <c r="G61" s="217">
        <f>SUM(G53:G60)</f>
        <v>163751</v>
      </c>
      <c r="H61" s="217"/>
      <c r="I61" s="218">
        <f>SUM(E53:E60)</f>
        <v>396899.68</v>
      </c>
      <c r="J61" s="215"/>
      <c r="K61" s="206">
        <f>SUM(K52:K60)</f>
        <v>14925</v>
      </c>
      <c r="L61" s="356"/>
      <c r="M61" s="206">
        <f t="shared" ref="M61:AC61" si="16">SUM(M52:M60)</f>
        <v>0</v>
      </c>
      <c r="N61" s="356"/>
      <c r="O61" s="206">
        <f t="shared" si="16"/>
        <v>0</v>
      </c>
      <c r="P61" s="356"/>
      <c r="Q61" s="206">
        <f t="shared" si="16"/>
        <v>0</v>
      </c>
      <c r="R61" s="356"/>
      <c r="S61" s="206">
        <f t="shared" si="16"/>
        <v>0</v>
      </c>
      <c r="T61" s="356"/>
      <c r="U61" s="206">
        <f t="shared" si="16"/>
        <v>0</v>
      </c>
      <c r="V61" s="356"/>
      <c r="W61" s="206">
        <f t="shared" si="16"/>
        <v>3830</v>
      </c>
      <c r="X61" s="356"/>
      <c r="Y61" s="206">
        <f t="shared" si="16"/>
        <v>0</v>
      </c>
      <c r="Z61" s="356"/>
      <c r="AA61" s="206">
        <f t="shared" si="16"/>
        <v>378145</v>
      </c>
      <c r="AB61" s="356"/>
      <c r="AC61" s="206">
        <f t="shared" si="16"/>
        <v>0</v>
      </c>
      <c r="AD61" s="356"/>
      <c r="AE61" s="206">
        <f>SUM(AE53:AE60)</f>
        <v>396905.02572673722</v>
      </c>
    </row>
    <row r="62" spans="1:31" ht="15.4" x14ac:dyDescent="0.45">
      <c r="A62" s="170"/>
      <c r="B62" s="171"/>
      <c r="C62" s="172"/>
      <c r="D62" s="172"/>
      <c r="E62" s="195"/>
      <c r="F62" s="195"/>
      <c r="G62" s="196"/>
      <c r="H62" s="196"/>
      <c r="I62" s="195"/>
      <c r="J62" s="195"/>
      <c r="K62" s="212"/>
      <c r="L62" s="358"/>
      <c r="M62" s="52"/>
      <c r="N62" s="370"/>
      <c r="O62" s="52"/>
      <c r="P62" s="370"/>
      <c r="Q62" s="52"/>
      <c r="R62" s="370"/>
      <c r="S62" s="52"/>
      <c r="T62" s="370"/>
      <c r="U62" s="52"/>
      <c r="V62" s="370"/>
      <c r="W62" s="52"/>
      <c r="X62" s="370"/>
      <c r="Y62" s="52"/>
      <c r="Z62" s="52"/>
      <c r="AA62" s="52"/>
      <c r="AB62" s="370"/>
      <c r="AC62" s="52"/>
      <c r="AD62" s="370"/>
      <c r="AE62" s="198" t="s">
        <v>0</v>
      </c>
    </row>
    <row r="63" spans="1:31" ht="15.4" x14ac:dyDescent="0.45">
      <c r="A63" s="170"/>
      <c r="B63" s="171"/>
      <c r="C63" s="172"/>
      <c r="D63" s="172"/>
      <c r="E63" s="195"/>
      <c r="F63" s="195"/>
      <c r="G63" s="196"/>
      <c r="H63" s="196"/>
      <c r="I63" s="195"/>
      <c r="J63" s="195"/>
      <c r="K63" s="212"/>
      <c r="L63" s="358"/>
      <c r="M63" s="52"/>
      <c r="N63" s="370"/>
      <c r="O63" s="52"/>
      <c r="P63" s="370"/>
      <c r="Q63" s="52"/>
      <c r="R63" s="370"/>
      <c r="S63" s="52"/>
      <c r="T63" s="370"/>
      <c r="U63" s="52"/>
      <c r="V63" s="370"/>
      <c r="W63" s="52"/>
      <c r="X63" s="370"/>
      <c r="Y63" s="52"/>
      <c r="Z63" s="52"/>
      <c r="AA63" s="52"/>
      <c r="AB63" s="370"/>
      <c r="AC63" s="52"/>
      <c r="AD63" s="370"/>
      <c r="AE63" s="198" t="s">
        <v>0</v>
      </c>
    </row>
    <row r="64" spans="1:31" x14ac:dyDescent="0.5">
      <c r="A64" s="170"/>
      <c r="B64" s="171">
        <v>6455</v>
      </c>
      <c r="C64" s="172" t="s">
        <v>147</v>
      </c>
      <c r="D64" s="172"/>
      <c r="E64" s="214">
        <v>0</v>
      </c>
      <c r="F64" s="214"/>
      <c r="G64" s="177">
        <v>0</v>
      </c>
      <c r="H64" s="177"/>
      <c r="J64" s="183"/>
      <c r="K64" s="176"/>
      <c r="L64" s="350"/>
      <c r="M64" s="52"/>
      <c r="N64" s="370"/>
      <c r="O64" s="52"/>
      <c r="P64" s="370"/>
      <c r="Q64" s="52"/>
      <c r="R64" s="370"/>
      <c r="S64" s="52"/>
      <c r="T64" s="370"/>
      <c r="U64" s="52"/>
      <c r="V64" s="370"/>
      <c r="W64" s="52"/>
      <c r="X64" s="370"/>
      <c r="Y64" s="52"/>
      <c r="Z64" s="52"/>
      <c r="AA64" s="52"/>
      <c r="AB64" s="370"/>
      <c r="AC64" s="52"/>
      <c r="AD64" s="370"/>
      <c r="AE64" s="177">
        <f t="shared" ref="AE64:AE69" si="17">SUM(K64:AA64)</f>
        <v>0</v>
      </c>
    </row>
    <row r="65" spans="1:31" x14ac:dyDescent="0.5">
      <c r="A65" s="170"/>
      <c r="B65" s="171">
        <v>6460</v>
      </c>
      <c r="C65" s="172" t="s">
        <v>148</v>
      </c>
      <c r="D65" s="172"/>
      <c r="E65" s="181">
        <v>0</v>
      </c>
      <c r="F65" s="181"/>
      <c r="G65" s="180">
        <v>0</v>
      </c>
      <c r="H65" s="180"/>
      <c r="J65" s="183"/>
      <c r="K65" s="179"/>
      <c r="L65" s="351"/>
      <c r="M65" s="180"/>
      <c r="N65" s="366"/>
      <c r="O65" s="180"/>
      <c r="P65" s="366"/>
      <c r="Q65" s="180"/>
      <c r="R65" s="366"/>
      <c r="S65" s="180"/>
      <c r="T65" s="366"/>
      <c r="U65" s="180"/>
      <c r="V65" s="366"/>
      <c r="W65" s="180"/>
      <c r="X65" s="366"/>
      <c r="Y65" s="180"/>
      <c r="Z65" s="180"/>
      <c r="AA65" s="180"/>
      <c r="AB65" s="366"/>
      <c r="AC65" s="180"/>
      <c r="AD65" s="366"/>
      <c r="AE65" s="180">
        <f t="shared" si="17"/>
        <v>0</v>
      </c>
    </row>
    <row r="66" spans="1:31" x14ac:dyDescent="0.5">
      <c r="A66" s="170"/>
      <c r="B66" s="171">
        <v>6470</v>
      </c>
      <c r="C66" s="172" t="s">
        <v>149</v>
      </c>
      <c r="D66" s="172"/>
      <c r="E66" s="181">
        <v>3200</v>
      </c>
      <c r="F66" s="181"/>
      <c r="G66" s="180">
        <v>4528</v>
      </c>
      <c r="H66" s="180"/>
      <c r="J66" s="183"/>
      <c r="K66" s="179">
        <v>3200</v>
      </c>
      <c r="L66" s="355">
        <f>K66/E66</f>
        <v>1</v>
      </c>
      <c r="M66" s="180"/>
      <c r="N66" s="366"/>
      <c r="O66" s="180"/>
      <c r="P66" s="366"/>
      <c r="Q66" s="180"/>
      <c r="R66" s="366"/>
      <c r="S66" s="180"/>
      <c r="T66" s="366"/>
      <c r="U66" s="180"/>
      <c r="V66" s="366"/>
      <c r="W66" s="180"/>
      <c r="X66" s="366"/>
      <c r="Y66" s="180"/>
      <c r="Z66" s="180"/>
      <c r="AA66" s="180"/>
      <c r="AB66" s="366"/>
      <c r="AC66" s="180"/>
      <c r="AD66" s="366"/>
      <c r="AE66" s="180">
        <f t="shared" si="17"/>
        <v>3201</v>
      </c>
    </row>
    <row r="67" spans="1:31" x14ac:dyDescent="0.5">
      <c r="A67" s="170"/>
      <c r="B67" s="171">
        <v>6500</v>
      </c>
      <c r="C67" s="172" t="s">
        <v>150</v>
      </c>
      <c r="D67" s="172"/>
      <c r="E67" s="181">
        <f>1500*12</f>
        <v>18000</v>
      </c>
      <c r="F67" s="181"/>
      <c r="G67" s="180">
        <v>12000</v>
      </c>
      <c r="H67" s="180"/>
      <c r="J67" s="183"/>
      <c r="K67" s="179">
        <v>18000</v>
      </c>
      <c r="L67" s="355">
        <f>K67/E67</f>
        <v>1</v>
      </c>
      <c r="M67" s="180"/>
      <c r="N67" s="366"/>
      <c r="O67" s="180"/>
      <c r="P67" s="366"/>
      <c r="Q67" s="180"/>
      <c r="R67" s="366"/>
      <c r="S67" s="180"/>
      <c r="T67" s="366"/>
      <c r="U67" s="180"/>
      <c r="V67" s="366"/>
      <c r="W67" s="180"/>
      <c r="X67" s="366"/>
      <c r="Y67" s="180"/>
      <c r="Z67" s="180"/>
      <c r="AA67" s="180"/>
      <c r="AB67" s="366"/>
      <c r="AC67" s="180"/>
      <c r="AD67" s="366"/>
      <c r="AE67" s="180">
        <f t="shared" si="17"/>
        <v>18001</v>
      </c>
    </row>
    <row r="68" spans="1:31" x14ac:dyDescent="0.5">
      <c r="A68" s="170"/>
      <c r="B68" s="171">
        <v>6510</v>
      </c>
      <c r="C68" s="172" t="s">
        <v>151</v>
      </c>
      <c r="D68" s="172"/>
      <c r="E68" s="181">
        <v>7764</v>
      </c>
      <c r="F68" s="181"/>
      <c r="G68" s="180">
        <v>4576</v>
      </c>
      <c r="H68" s="180"/>
      <c r="J68" s="183"/>
      <c r="K68" s="179" t="s">
        <v>0</v>
      </c>
      <c r="L68" s="351"/>
      <c r="M68" s="180"/>
      <c r="N68" s="366"/>
      <c r="O68" s="180"/>
      <c r="P68" s="366"/>
      <c r="Q68" s="180"/>
      <c r="R68" s="366"/>
      <c r="S68" s="180"/>
      <c r="T68" s="366"/>
      <c r="U68" s="180" t="s">
        <v>0</v>
      </c>
      <c r="V68" s="366"/>
      <c r="W68" s="180">
        <v>1020</v>
      </c>
      <c r="X68" s="378">
        <f>W68/E68</f>
        <v>0.13137557959814528</v>
      </c>
      <c r="Y68" s="180"/>
      <c r="Z68" s="180"/>
      <c r="AA68" s="180">
        <v>6744</v>
      </c>
      <c r="AB68" s="378">
        <f>AA68/E68</f>
        <v>0.86862442040185472</v>
      </c>
      <c r="AC68" s="180"/>
      <c r="AD68" s="366"/>
      <c r="AE68" s="180">
        <f t="shared" si="17"/>
        <v>7764.1313755795982</v>
      </c>
    </row>
    <row r="69" spans="1:31" x14ac:dyDescent="0.5">
      <c r="A69" s="170"/>
      <c r="B69" s="171">
        <v>6890</v>
      </c>
      <c r="C69" s="172" t="s">
        <v>152</v>
      </c>
      <c r="D69" s="172"/>
      <c r="E69" s="181">
        <v>0</v>
      </c>
      <c r="F69" s="181"/>
      <c r="G69" s="185">
        <f>1126+2275+155+177+780+318</f>
        <v>4831</v>
      </c>
      <c r="H69" s="180"/>
      <c r="J69" s="183"/>
      <c r="K69" s="186"/>
      <c r="L69" s="352"/>
      <c r="M69" s="185"/>
      <c r="N69" s="369"/>
      <c r="O69" s="185"/>
      <c r="P69" s="369"/>
      <c r="Q69" s="185"/>
      <c r="R69" s="369"/>
      <c r="S69" s="185"/>
      <c r="T69" s="369"/>
      <c r="U69" s="185"/>
      <c r="V69" s="369"/>
      <c r="W69" s="185"/>
      <c r="X69" s="369"/>
      <c r="Y69" s="185"/>
      <c r="Z69" s="185"/>
      <c r="AA69" s="185"/>
      <c r="AB69" s="369"/>
      <c r="AC69" s="185"/>
      <c r="AD69" s="369"/>
      <c r="AE69" s="185">
        <f t="shared" si="17"/>
        <v>0</v>
      </c>
    </row>
    <row r="70" spans="1:31" ht="15.4" x14ac:dyDescent="0.45">
      <c r="A70" s="170"/>
      <c r="B70" s="171"/>
      <c r="C70" s="165" t="s">
        <v>153</v>
      </c>
      <c r="D70" s="165"/>
      <c r="E70" s="206">
        <f>SUM(E64:E69)</f>
        <v>28964</v>
      </c>
      <c r="F70" s="206"/>
      <c r="G70" s="217">
        <f>SUM(G64:G69)</f>
        <v>25935</v>
      </c>
      <c r="H70" s="217"/>
      <c r="I70" s="218">
        <f>SUM(E64:E69)</f>
        <v>28964</v>
      </c>
      <c r="J70" s="215"/>
      <c r="K70" s="206">
        <f>SUM(K64:K69)</f>
        <v>21200</v>
      </c>
      <c r="L70" s="356"/>
      <c r="M70" s="206">
        <f t="shared" ref="M70:AE70" si="18">SUM(M64:M69)</f>
        <v>0</v>
      </c>
      <c r="N70" s="356"/>
      <c r="O70" s="206">
        <f t="shared" si="18"/>
        <v>0</v>
      </c>
      <c r="P70" s="356"/>
      <c r="Q70" s="206">
        <f t="shared" si="18"/>
        <v>0</v>
      </c>
      <c r="R70" s="356"/>
      <c r="S70" s="206">
        <f t="shared" si="18"/>
        <v>0</v>
      </c>
      <c r="T70" s="356"/>
      <c r="U70" s="206">
        <f t="shared" si="18"/>
        <v>0</v>
      </c>
      <c r="V70" s="356"/>
      <c r="W70" s="206">
        <f t="shared" si="18"/>
        <v>1020</v>
      </c>
      <c r="X70" s="356"/>
      <c r="Y70" s="206">
        <f t="shared" si="18"/>
        <v>0</v>
      </c>
      <c r="Z70" s="206"/>
      <c r="AA70" s="206">
        <f t="shared" si="18"/>
        <v>6744</v>
      </c>
      <c r="AB70" s="356"/>
      <c r="AC70" s="206">
        <f t="shared" si="18"/>
        <v>0</v>
      </c>
      <c r="AD70" s="356"/>
      <c r="AE70" s="206">
        <f t="shared" si="18"/>
        <v>28966.1313755796</v>
      </c>
    </row>
    <row r="71" spans="1:31" ht="15.4" x14ac:dyDescent="0.45">
      <c r="A71" s="170"/>
      <c r="B71" s="171"/>
      <c r="C71" s="208"/>
      <c r="D71" s="208"/>
      <c r="E71" s="195"/>
      <c r="F71" s="195"/>
      <c r="G71" s="196"/>
      <c r="H71" s="196"/>
      <c r="I71" s="195"/>
      <c r="J71" s="195"/>
      <c r="K71" s="212"/>
      <c r="L71" s="358"/>
      <c r="M71" s="52"/>
      <c r="N71" s="370"/>
      <c r="O71" s="52"/>
      <c r="P71" s="370"/>
      <c r="Q71" s="52"/>
      <c r="R71" s="370"/>
      <c r="S71" s="52"/>
      <c r="T71" s="370"/>
      <c r="U71" s="52"/>
      <c r="V71" s="370"/>
      <c r="W71" s="52"/>
      <c r="X71" s="370"/>
      <c r="Y71" s="52"/>
      <c r="Z71" s="52"/>
      <c r="AA71" s="52"/>
      <c r="AB71" s="370"/>
      <c r="AC71" s="52"/>
      <c r="AD71" s="370"/>
      <c r="AE71" s="198" t="s">
        <v>0</v>
      </c>
    </row>
    <row r="72" spans="1:31" ht="15.4" x14ac:dyDescent="0.45">
      <c r="A72" s="170"/>
      <c r="B72" s="171"/>
      <c r="C72" s="208"/>
      <c r="D72" s="208"/>
      <c r="E72" s="195"/>
      <c r="F72" s="195"/>
      <c r="G72" s="196"/>
      <c r="H72" s="196"/>
      <c r="I72" s="195"/>
      <c r="J72" s="195"/>
      <c r="K72" s="212"/>
      <c r="L72" s="358"/>
      <c r="M72" s="52"/>
      <c r="N72" s="370"/>
      <c r="O72" s="52"/>
      <c r="P72" s="370"/>
      <c r="Q72" s="52"/>
      <c r="R72" s="370"/>
      <c r="S72" s="52"/>
      <c r="T72" s="370"/>
      <c r="U72" s="52"/>
      <c r="V72" s="370"/>
      <c r="W72" s="52"/>
      <c r="X72" s="370"/>
      <c r="Y72" s="52"/>
      <c r="Z72" s="52"/>
      <c r="AA72" s="52"/>
      <c r="AB72" s="370"/>
      <c r="AC72" s="52"/>
      <c r="AD72" s="370"/>
      <c r="AE72" s="198" t="s">
        <v>0</v>
      </c>
    </row>
    <row r="73" spans="1:31" x14ac:dyDescent="0.5">
      <c r="A73" s="170"/>
      <c r="B73" s="171">
        <v>6600</v>
      </c>
      <c r="C73" s="172" t="s">
        <v>154</v>
      </c>
      <c r="D73" s="172"/>
      <c r="E73" s="175">
        <v>4000</v>
      </c>
      <c r="F73" s="175"/>
      <c r="G73" s="174">
        <v>594</v>
      </c>
      <c r="H73" s="174"/>
      <c r="J73" s="183"/>
      <c r="K73" s="176"/>
      <c r="L73" s="350"/>
      <c r="M73" s="52"/>
      <c r="N73" s="370"/>
      <c r="O73" s="52"/>
      <c r="P73" s="370"/>
      <c r="Q73" s="52"/>
      <c r="R73" s="370"/>
      <c r="S73" s="52"/>
      <c r="T73" s="370"/>
      <c r="U73" s="177"/>
      <c r="V73" s="365"/>
      <c r="W73" s="177">
        <v>2000</v>
      </c>
      <c r="X73" s="378">
        <f>W73/E73</f>
        <v>0.5</v>
      </c>
      <c r="Y73" s="177"/>
      <c r="Z73" s="177"/>
      <c r="AA73" s="177">
        <v>2000</v>
      </c>
      <c r="AB73" s="378">
        <f>AA73/E73</f>
        <v>0.5</v>
      </c>
      <c r="AC73" s="177"/>
      <c r="AD73" s="365"/>
      <c r="AE73" s="177">
        <f t="shared" ref="AE73:AE81" si="19">SUM(K73:AA73)</f>
        <v>4000.5</v>
      </c>
    </row>
    <row r="74" spans="1:31" x14ac:dyDescent="0.5">
      <c r="A74" s="170"/>
      <c r="B74" s="171">
        <v>6605</v>
      </c>
      <c r="C74" s="199" t="s">
        <v>155</v>
      </c>
      <c r="D74" s="199"/>
      <c r="E74" s="219">
        <v>0</v>
      </c>
      <c r="F74" s="219"/>
      <c r="G74" s="182">
        <v>96</v>
      </c>
      <c r="H74" s="182"/>
      <c r="J74" s="183"/>
      <c r="K74" s="179"/>
      <c r="L74" s="351"/>
      <c r="M74" s="184"/>
      <c r="N74" s="371"/>
      <c r="O74" s="184"/>
      <c r="P74" s="371"/>
      <c r="Q74" s="184"/>
      <c r="R74" s="371"/>
      <c r="S74" s="184"/>
      <c r="T74" s="371"/>
      <c r="U74" s="180"/>
      <c r="V74" s="366"/>
      <c r="W74" s="180"/>
      <c r="X74" s="378" t="s">
        <v>0</v>
      </c>
      <c r="Y74" s="180"/>
      <c r="Z74" s="180"/>
      <c r="AA74" s="180"/>
      <c r="AB74" s="378" t="s">
        <v>0</v>
      </c>
      <c r="AC74" s="180"/>
      <c r="AD74" s="366"/>
      <c r="AE74" s="180">
        <f t="shared" si="19"/>
        <v>0</v>
      </c>
    </row>
    <row r="75" spans="1:31" x14ac:dyDescent="0.5">
      <c r="A75" s="170"/>
      <c r="B75" s="171">
        <v>6610</v>
      </c>
      <c r="C75" s="172" t="s">
        <v>156</v>
      </c>
      <c r="D75" s="172"/>
      <c r="E75" s="219">
        <v>9000</v>
      </c>
      <c r="F75" s="219"/>
      <c r="G75" s="182">
        <v>4854</v>
      </c>
      <c r="H75" s="182"/>
      <c r="J75" s="183"/>
      <c r="K75" s="179"/>
      <c r="L75" s="351"/>
      <c r="M75" s="184"/>
      <c r="N75" s="371"/>
      <c r="O75" s="184"/>
      <c r="P75" s="371"/>
      <c r="Q75" s="184"/>
      <c r="R75" s="371"/>
      <c r="S75" s="184"/>
      <c r="T75" s="371"/>
      <c r="U75" s="180"/>
      <c r="V75" s="366"/>
      <c r="W75" s="180">
        <v>2000</v>
      </c>
      <c r="X75" s="378">
        <f t="shared" ref="X75:X80" si="20">W75/E75</f>
        <v>0.22222222222222221</v>
      </c>
      <c r="Y75" s="180">
        <v>0</v>
      </c>
      <c r="Z75" s="180"/>
      <c r="AA75" s="180">
        <v>7000</v>
      </c>
      <c r="AB75" s="378">
        <f t="shared" ref="AB75:AB81" si="21">AA75/E75</f>
        <v>0.77777777777777779</v>
      </c>
      <c r="AC75" s="180"/>
      <c r="AD75" s="366"/>
      <c r="AE75" s="180">
        <f t="shared" si="19"/>
        <v>9000.2222222222226</v>
      </c>
    </row>
    <row r="76" spans="1:31" x14ac:dyDescent="0.5">
      <c r="A76" s="170"/>
      <c r="B76" s="171">
        <v>6615</v>
      </c>
      <c r="C76" s="172" t="s">
        <v>157</v>
      </c>
      <c r="D76" s="172"/>
      <c r="E76" s="219">
        <v>200</v>
      </c>
      <c r="F76" s="219"/>
      <c r="G76" s="182">
        <v>1997</v>
      </c>
      <c r="H76" s="182"/>
      <c r="J76" s="183"/>
      <c r="K76" s="179">
        <v>200</v>
      </c>
      <c r="L76" s="355">
        <f>K76/E76</f>
        <v>1</v>
      </c>
      <c r="M76" s="184"/>
      <c r="N76" s="371"/>
      <c r="O76" s="184"/>
      <c r="P76" s="371"/>
      <c r="Q76" s="184"/>
      <c r="R76" s="371"/>
      <c r="S76" s="184"/>
      <c r="T76" s="371"/>
      <c r="U76" s="180"/>
      <c r="V76" s="366"/>
      <c r="W76" s="180"/>
      <c r="X76" s="378" t="s">
        <v>0</v>
      </c>
      <c r="Y76" s="180"/>
      <c r="Z76" s="180"/>
      <c r="AA76" s="180"/>
      <c r="AB76" s="378" t="s">
        <v>0</v>
      </c>
      <c r="AC76" s="180"/>
      <c r="AD76" s="366"/>
      <c r="AE76" s="180">
        <f t="shared" si="19"/>
        <v>201</v>
      </c>
    </row>
    <row r="77" spans="1:31" x14ac:dyDescent="0.5">
      <c r="A77" s="170"/>
      <c r="B77" s="171">
        <v>6620</v>
      </c>
      <c r="C77" s="199" t="s">
        <v>158</v>
      </c>
      <c r="D77" s="199"/>
      <c r="E77" s="219">
        <v>350</v>
      </c>
      <c r="F77" s="219"/>
      <c r="G77" s="182">
        <v>0</v>
      </c>
      <c r="H77" s="182"/>
      <c r="J77" s="183"/>
      <c r="K77" s="179"/>
      <c r="L77" s="351"/>
      <c r="M77" s="184"/>
      <c r="N77" s="371"/>
      <c r="O77" s="184"/>
      <c r="P77" s="371"/>
      <c r="Q77" s="184"/>
      <c r="R77" s="371"/>
      <c r="S77" s="184"/>
      <c r="T77" s="371"/>
      <c r="U77" s="180"/>
      <c r="V77" s="366"/>
      <c r="W77" s="180">
        <v>150</v>
      </c>
      <c r="X77" s="378">
        <f t="shared" si="20"/>
        <v>0.42857142857142855</v>
      </c>
      <c r="Y77" s="180"/>
      <c r="Z77" s="180"/>
      <c r="AA77" s="180">
        <v>200</v>
      </c>
      <c r="AB77" s="378">
        <f t="shared" si="21"/>
        <v>0.5714285714285714</v>
      </c>
      <c r="AC77" s="180"/>
      <c r="AD77" s="366"/>
      <c r="AE77" s="180">
        <f t="shared" si="19"/>
        <v>350.42857142857144</v>
      </c>
    </row>
    <row r="78" spans="1:31" x14ac:dyDescent="0.5">
      <c r="A78" s="170"/>
      <c r="B78" s="171">
        <v>6625</v>
      </c>
      <c r="C78" s="172" t="s">
        <v>159</v>
      </c>
      <c r="D78" s="172"/>
      <c r="E78" s="219">
        <v>4000</v>
      </c>
      <c r="F78" s="219"/>
      <c r="G78" s="182">
        <v>0</v>
      </c>
      <c r="H78" s="182"/>
      <c r="J78" s="183"/>
      <c r="K78" s="179"/>
      <c r="L78" s="351"/>
      <c r="M78" s="184"/>
      <c r="N78" s="371"/>
      <c r="O78" s="184"/>
      <c r="P78" s="371"/>
      <c r="Q78" s="184"/>
      <c r="R78" s="371"/>
      <c r="S78" s="184"/>
      <c r="T78" s="371"/>
      <c r="U78" s="180"/>
      <c r="V78" s="366"/>
      <c r="W78" s="180">
        <v>2000</v>
      </c>
      <c r="X78" s="378">
        <f t="shared" si="20"/>
        <v>0.5</v>
      </c>
      <c r="Y78" s="180"/>
      <c r="Z78" s="180"/>
      <c r="AA78" s="180">
        <v>2000</v>
      </c>
      <c r="AB78" s="378">
        <f t="shared" si="21"/>
        <v>0.5</v>
      </c>
      <c r="AC78" s="180"/>
      <c r="AD78" s="366"/>
      <c r="AE78" s="180">
        <f t="shared" si="19"/>
        <v>4000.5</v>
      </c>
    </row>
    <row r="79" spans="1:31" x14ac:dyDescent="0.5">
      <c r="A79" s="170"/>
      <c r="B79" s="171">
        <v>6630</v>
      </c>
      <c r="C79" s="172" t="s">
        <v>160</v>
      </c>
      <c r="D79" s="172"/>
      <c r="E79" s="219">
        <v>250</v>
      </c>
      <c r="F79" s="219"/>
      <c r="G79" s="182">
        <v>204</v>
      </c>
      <c r="H79" s="182"/>
      <c r="J79" s="183"/>
      <c r="K79" s="179">
        <v>250</v>
      </c>
      <c r="L79" s="355">
        <f>K79/E79</f>
        <v>1</v>
      </c>
      <c r="M79" s="184"/>
      <c r="N79" s="371"/>
      <c r="O79" s="184"/>
      <c r="P79" s="371"/>
      <c r="Q79" s="184"/>
      <c r="R79" s="371"/>
      <c r="S79" s="184"/>
      <c r="T79" s="371"/>
      <c r="U79" s="180"/>
      <c r="V79" s="366"/>
      <c r="W79" s="180"/>
      <c r="X79" s="378" t="s">
        <v>0</v>
      </c>
      <c r="Y79" s="180"/>
      <c r="Z79" s="180"/>
      <c r="AA79" s="180"/>
      <c r="AB79" s="378" t="s">
        <v>0</v>
      </c>
      <c r="AC79" s="180"/>
      <c r="AD79" s="366"/>
      <c r="AE79" s="180">
        <f t="shared" si="19"/>
        <v>251</v>
      </c>
    </row>
    <row r="80" spans="1:31" x14ac:dyDescent="0.5">
      <c r="A80" s="170"/>
      <c r="B80" s="171">
        <v>6635</v>
      </c>
      <c r="C80" s="199" t="s">
        <v>161</v>
      </c>
      <c r="D80" s="199"/>
      <c r="E80" s="219">
        <v>1200</v>
      </c>
      <c r="F80" s="219"/>
      <c r="G80" s="182">
        <v>641</v>
      </c>
      <c r="H80" s="182"/>
      <c r="J80" s="183"/>
      <c r="K80" s="179"/>
      <c r="L80" s="351"/>
      <c r="M80" s="184"/>
      <c r="N80" s="371"/>
      <c r="O80" s="184"/>
      <c r="P80" s="371"/>
      <c r="Q80" s="184"/>
      <c r="R80" s="371"/>
      <c r="S80" s="184"/>
      <c r="T80" s="371"/>
      <c r="U80" s="180"/>
      <c r="V80" s="366"/>
      <c r="W80" s="180">
        <v>700</v>
      </c>
      <c r="X80" s="378">
        <f t="shared" si="20"/>
        <v>0.58333333333333337</v>
      </c>
      <c r="Y80" s="180"/>
      <c r="Z80" s="180"/>
      <c r="AA80" s="180">
        <v>500</v>
      </c>
      <c r="AB80" s="378">
        <f t="shared" si="21"/>
        <v>0.41666666666666669</v>
      </c>
      <c r="AC80" s="180"/>
      <c r="AD80" s="366"/>
      <c r="AE80" s="180">
        <f t="shared" si="19"/>
        <v>1200.5833333333335</v>
      </c>
    </row>
    <row r="81" spans="1:33" x14ac:dyDescent="0.5">
      <c r="A81" s="170"/>
      <c r="B81" s="171">
        <v>6640</v>
      </c>
      <c r="C81" s="172" t="s">
        <v>162</v>
      </c>
      <c r="D81" s="172"/>
      <c r="E81" s="219">
        <v>500</v>
      </c>
      <c r="F81" s="219"/>
      <c r="G81" s="188">
        <v>405</v>
      </c>
      <c r="H81" s="182"/>
      <c r="J81" s="183"/>
      <c r="K81" s="186"/>
      <c r="L81" s="352"/>
      <c r="M81" s="187"/>
      <c r="N81" s="367"/>
      <c r="O81" s="187"/>
      <c r="P81" s="367"/>
      <c r="Q81" s="187"/>
      <c r="R81" s="367"/>
      <c r="S81" s="187"/>
      <c r="T81" s="367"/>
      <c r="U81" s="185"/>
      <c r="V81" s="369"/>
      <c r="W81" s="185"/>
      <c r="X81" s="378" t="s">
        <v>0</v>
      </c>
      <c r="Y81" s="185"/>
      <c r="Z81" s="185"/>
      <c r="AA81" s="185">
        <v>500</v>
      </c>
      <c r="AB81" s="378">
        <f t="shared" si="21"/>
        <v>1</v>
      </c>
      <c r="AC81" s="185"/>
      <c r="AD81" s="369"/>
      <c r="AE81" s="185">
        <f t="shared" si="19"/>
        <v>500</v>
      </c>
    </row>
    <row r="82" spans="1:33" ht="15.4" x14ac:dyDescent="0.45">
      <c r="A82" s="170"/>
      <c r="B82" s="171"/>
      <c r="C82" s="165" t="s">
        <v>163</v>
      </c>
      <c r="D82" s="165"/>
      <c r="E82" s="202">
        <f>SUM(E73:E81)</f>
        <v>19500</v>
      </c>
      <c r="F82" s="202"/>
      <c r="G82" s="203">
        <f>SUM(G73:G81)</f>
        <v>8791</v>
      </c>
      <c r="H82" s="203"/>
      <c r="I82" s="204">
        <f>SUM(E73:E81)</f>
        <v>19500</v>
      </c>
      <c r="J82" s="215"/>
      <c r="K82" s="206">
        <f>SUM(K73:K81)</f>
        <v>450</v>
      </c>
      <c r="L82" s="356"/>
      <c r="M82" s="206">
        <f t="shared" ref="M82:AE82" si="22">SUM(M73:M81)</f>
        <v>0</v>
      </c>
      <c r="N82" s="356"/>
      <c r="O82" s="206">
        <f t="shared" si="22"/>
        <v>0</v>
      </c>
      <c r="P82" s="356"/>
      <c r="Q82" s="206">
        <f t="shared" si="22"/>
        <v>0</v>
      </c>
      <c r="R82" s="356"/>
      <c r="S82" s="206">
        <f t="shared" si="22"/>
        <v>0</v>
      </c>
      <c r="T82" s="356"/>
      <c r="U82" s="206">
        <f t="shared" si="22"/>
        <v>0</v>
      </c>
      <c r="V82" s="356"/>
      <c r="W82" s="206">
        <f t="shared" si="22"/>
        <v>6850</v>
      </c>
      <c r="X82" s="356"/>
      <c r="Y82" s="206">
        <f t="shared" si="22"/>
        <v>0</v>
      </c>
      <c r="Z82" s="206"/>
      <c r="AA82" s="206">
        <f t="shared" si="22"/>
        <v>12200</v>
      </c>
      <c r="AB82" s="356"/>
      <c r="AC82" s="206">
        <f t="shared" si="22"/>
        <v>0</v>
      </c>
      <c r="AD82" s="356"/>
      <c r="AE82" s="206">
        <f t="shared" si="22"/>
        <v>19504.234126984124</v>
      </c>
    </row>
    <row r="83" spans="1:33" ht="15.4" x14ac:dyDescent="0.45">
      <c r="A83" s="170"/>
      <c r="B83" s="171"/>
      <c r="C83" s="172"/>
      <c r="D83" s="172"/>
      <c r="E83" s="195"/>
      <c r="F83" s="195"/>
      <c r="G83" s="196"/>
      <c r="H83" s="196"/>
      <c r="I83" s="195"/>
      <c r="J83" s="195"/>
      <c r="K83" s="212"/>
      <c r="L83" s="358"/>
      <c r="M83" s="52"/>
      <c r="N83" s="370"/>
      <c r="O83" s="52"/>
      <c r="P83" s="370"/>
      <c r="Q83" s="52"/>
      <c r="R83" s="370"/>
      <c r="S83" s="52"/>
      <c r="T83" s="370"/>
      <c r="U83" s="52"/>
      <c r="V83" s="370"/>
      <c r="W83" s="52"/>
      <c r="X83" s="370"/>
      <c r="Y83" s="52"/>
      <c r="Z83" s="52"/>
      <c r="AA83" s="52"/>
      <c r="AB83" s="370"/>
      <c r="AC83" s="52"/>
      <c r="AD83" s="370"/>
      <c r="AE83" s="198" t="s">
        <v>0</v>
      </c>
    </row>
    <row r="84" spans="1:33" ht="15.4" x14ac:dyDescent="0.45">
      <c r="A84" s="170"/>
      <c r="B84" s="171"/>
      <c r="C84" s="172"/>
      <c r="D84" s="172"/>
      <c r="E84" s="195"/>
      <c r="F84" s="195"/>
      <c r="G84" s="196"/>
      <c r="H84" s="196"/>
      <c r="I84" s="195"/>
      <c r="J84" s="195"/>
      <c r="K84" s="212"/>
      <c r="L84" s="358"/>
      <c r="M84" s="52"/>
      <c r="N84" s="370"/>
      <c r="O84" s="52"/>
      <c r="P84" s="370"/>
      <c r="Q84" s="52"/>
      <c r="R84" s="370"/>
      <c r="S84" s="52"/>
      <c r="T84" s="370"/>
      <c r="U84" s="52"/>
      <c r="V84" s="370"/>
      <c r="W84" s="52"/>
      <c r="X84" s="370"/>
      <c r="Y84" s="52"/>
      <c r="Z84" s="52"/>
      <c r="AA84" s="52"/>
      <c r="AB84" s="370"/>
      <c r="AC84" s="52"/>
      <c r="AD84" s="370"/>
      <c r="AE84" s="198" t="s">
        <v>0</v>
      </c>
    </row>
    <row r="85" spans="1:33" x14ac:dyDescent="0.5">
      <c r="A85" s="170"/>
      <c r="B85" s="171">
        <v>6800</v>
      </c>
      <c r="C85" s="172" t="s">
        <v>164</v>
      </c>
      <c r="D85" s="172"/>
      <c r="E85" s="214">
        <v>2850</v>
      </c>
      <c r="F85" s="214"/>
      <c r="G85" s="177">
        <v>1103</v>
      </c>
      <c r="H85" s="177"/>
      <c r="J85" s="183"/>
      <c r="K85" s="176">
        <v>650</v>
      </c>
      <c r="L85" s="355">
        <f>K85/E85</f>
        <v>0.22807017543859648</v>
      </c>
      <c r="M85" s="177"/>
      <c r="N85" s="365"/>
      <c r="O85" s="177"/>
      <c r="P85" s="365"/>
      <c r="Q85" s="177"/>
      <c r="R85" s="365"/>
      <c r="S85" s="177"/>
      <c r="T85" s="365"/>
      <c r="U85" s="177"/>
      <c r="V85" s="365"/>
      <c r="W85" s="177">
        <v>575</v>
      </c>
      <c r="X85" s="378">
        <f>W85/E85</f>
        <v>0.20175438596491227</v>
      </c>
      <c r="Y85" s="177"/>
      <c r="Z85" s="177"/>
      <c r="AA85" s="177">
        <v>1625</v>
      </c>
      <c r="AB85" s="365"/>
      <c r="AC85" s="177"/>
      <c r="AD85" s="365"/>
      <c r="AE85" s="177">
        <f>SUM(K85:AA85)</f>
        <v>2850.4298245614036</v>
      </c>
    </row>
    <row r="86" spans="1:33" x14ac:dyDescent="0.5">
      <c r="A86" s="170"/>
      <c r="B86" s="171">
        <v>6810</v>
      </c>
      <c r="C86" s="172" t="s">
        <v>165</v>
      </c>
      <c r="D86" s="172"/>
      <c r="E86" s="181">
        <v>1784</v>
      </c>
      <c r="F86" s="181"/>
      <c r="G86" s="185">
        <v>1950</v>
      </c>
      <c r="H86" s="180"/>
      <c r="J86" s="183"/>
      <c r="K86" s="186">
        <v>560</v>
      </c>
      <c r="L86" s="355">
        <f>K86/E86</f>
        <v>0.31390134529147984</v>
      </c>
      <c r="M86" s="185"/>
      <c r="N86" s="369"/>
      <c r="O86" s="185"/>
      <c r="P86" s="369"/>
      <c r="Q86" s="185"/>
      <c r="R86" s="369"/>
      <c r="S86" s="185"/>
      <c r="T86" s="369"/>
      <c r="U86" s="185"/>
      <c r="V86" s="369"/>
      <c r="W86" s="185">
        <f>31*12</f>
        <v>372</v>
      </c>
      <c r="X86" s="379">
        <f>W86/E86</f>
        <v>0.2085201793721973</v>
      </c>
      <c r="Y86" s="185"/>
      <c r="Z86" s="185"/>
      <c r="AA86" s="185">
        <f>71*12</f>
        <v>852</v>
      </c>
      <c r="AB86" s="369"/>
      <c r="AC86" s="185"/>
      <c r="AD86" s="369"/>
      <c r="AE86" s="185">
        <f>SUM(K86:AA86)</f>
        <v>1784.5224215246635</v>
      </c>
    </row>
    <row r="87" spans="1:33" ht="15.4" x14ac:dyDescent="0.45">
      <c r="A87" s="170"/>
      <c r="B87" s="171"/>
      <c r="C87" s="165" t="s">
        <v>166</v>
      </c>
      <c r="D87" s="165"/>
      <c r="E87" s="206">
        <f>SUM(E85:E86)</f>
        <v>4634</v>
      </c>
      <c r="F87" s="206"/>
      <c r="G87" s="217">
        <f>SUM(G85:G86)</f>
        <v>3053</v>
      </c>
      <c r="H87" s="217"/>
      <c r="I87" s="218">
        <f>SUM(E85:E86)</f>
        <v>4634</v>
      </c>
      <c r="J87" s="215"/>
      <c r="K87" s="206">
        <f>SUM(K85:K86)</f>
        <v>1210</v>
      </c>
      <c r="L87" s="356"/>
      <c r="M87" s="206">
        <f t="shared" ref="M87:AE87" si="23">SUM(M85:M86)</f>
        <v>0</v>
      </c>
      <c r="N87" s="356"/>
      <c r="O87" s="206">
        <f t="shared" si="23"/>
        <v>0</v>
      </c>
      <c r="P87" s="356"/>
      <c r="Q87" s="206">
        <f t="shared" si="23"/>
        <v>0</v>
      </c>
      <c r="R87" s="356"/>
      <c r="S87" s="206">
        <f t="shared" si="23"/>
        <v>0</v>
      </c>
      <c r="T87" s="356"/>
      <c r="U87" s="206">
        <f t="shared" si="23"/>
        <v>0</v>
      </c>
      <c r="V87" s="356"/>
      <c r="W87" s="206">
        <f t="shared" si="23"/>
        <v>947</v>
      </c>
      <c r="X87" s="356"/>
      <c r="Y87" s="206">
        <f t="shared" si="23"/>
        <v>0</v>
      </c>
      <c r="Z87" s="206"/>
      <c r="AA87" s="206">
        <f t="shared" si="23"/>
        <v>2477</v>
      </c>
      <c r="AB87" s="356"/>
      <c r="AC87" s="206">
        <f t="shared" si="23"/>
        <v>0</v>
      </c>
      <c r="AD87" s="356"/>
      <c r="AE87" s="206">
        <f t="shared" si="23"/>
        <v>4634.9522460860671</v>
      </c>
    </row>
    <row r="88" spans="1:33" ht="15.4" x14ac:dyDescent="0.45">
      <c r="A88" s="170"/>
      <c r="B88" s="171"/>
      <c r="C88" s="172"/>
      <c r="D88" s="172"/>
      <c r="E88" s="220"/>
      <c r="F88" s="220"/>
      <c r="G88" s="196"/>
      <c r="H88" s="196"/>
      <c r="I88" s="220"/>
      <c r="J88" s="220"/>
      <c r="K88" s="222"/>
      <c r="L88" s="359"/>
      <c r="M88" s="52"/>
      <c r="N88" s="370"/>
      <c r="O88" s="52"/>
      <c r="P88" s="370"/>
      <c r="Q88" s="52"/>
      <c r="R88" s="370"/>
      <c r="S88" s="52"/>
      <c r="T88" s="370"/>
      <c r="U88" s="52"/>
      <c r="V88" s="370"/>
      <c r="W88" s="52"/>
      <c r="X88" s="370"/>
      <c r="Y88" s="52"/>
      <c r="Z88" s="52"/>
      <c r="AA88" s="52"/>
      <c r="AB88" s="370"/>
      <c r="AC88" s="52"/>
      <c r="AD88" s="370"/>
      <c r="AE88" s="198" t="s">
        <v>0</v>
      </c>
    </row>
    <row r="89" spans="1:33" s="228" customFormat="1" ht="23.25" x14ac:dyDescent="0.7">
      <c r="A89" s="223"/>
      <c r="B89" s="171"/>
      <c r="C89" s="190" t="s">
        <v>167</v>
      </c>
      <c r="D89" s="190"/>
      <c r="E89" s="224">
        <f>+E35+E50+E61+E70+E82+E87</f>
        <v>2002727.68</v>
      </c>
      <c r="F89" s="224"/>
      <c r="G89" s="224">
        <f>+G35+G50+G61+G70+G82+G87</f>
        <v>971904</v>
      </c>
      <c r="H89" s="224"/>
      <c r="I89" s="224">
        <f>+I35+I50+I61+I70+I82+I87</f>
        <v>2002727.68</v>
      </c>
      <c r="J89" s="226"/>
      <c r="K89" s="224">
        <f>+K35+K50+K61+K70+K82+K87</f>
        <v>312774</v>
      </c>
      <c r="L89" s="360"/>
      <c r="M89" s="224">
        <f t="shared" ref="M89:AC89" si="24">+M35+M50+M61+M70+M82+M87</f>
        <v>156500</v>
      </c>
      <c r="N89" s="360"/>
      <c r="O89" s="224">
        <f t="shared" si="24"/>
        <v>144000</v>
      </c>
      <c r="P89" s="360"/>
      <c r="Q89" s="224">
        <f t="shared" si="24"/>
        <v>203000</v>
      </c>
      <c r="R89" s="360"/>
      <c r="S89" s="224">
        <f t="shared" si="24"/>
        <v>11200</v>
      </c>
      <c r="T89" s="360"/>
      <c r="U89" s="224">
        <f t="shared" si="24"/>
        <v>7489</v>
      </c>
      <c r="V89" s="360"/>
      <c r="W89" s="224">
        <f t="shared" si="24"/>
        <v>78395</v>
      </c>
      <c r="X89" s="360"/>
      <c r="Y89" s="224">
        <f t="shared" si="24"/>
        <v>93000</v>
      </c>
      <c r="Z89" s="224"/>
      <c r="AA89" s="224">
        <f t="shared" si="24"/>
        <v>996370</v>
      </c>
      <c r="AB89" s="360"/>
      <c r="AC89" s="224">
        <f t="shared" si="24"/>
        <v>0</v>
      </c>
      <c r="AD89" s="360"/>
      <c r="AE89" s="227">
        <f>SUM(K89:AA89)</f>
        <v>2002728</v>
      </c>
    </row>
    <row r="90" spans="1:33" ht="15.4" x14ac:dyDescent="0.45">
      <c r="A90" s="170"/>
      <c r="B90" s="171"/>
      <c r="C90" s="172"/>
      <c r="D90" s="172"/>
      <c r="E90" s="229"/>
      <c r="F90" s="229"/>
      <c r="G90" s="196"/>
      <c r="H90" s="196"/>
      <c r="I90" s="376"/>
      <c r="J90" s="229"/>
      <c r="K90" s="231"/>
      <c r="L90" s="361"/>
      <c r="M90" s="52"/>
      <c r="N90" s="370"/>
      <c r="O90" s="52"/>
      <c r="P90" s="370"/>
      <c r="Q90" s="52"/>
      <c r="R90" s="370"/>
      <c r="S90" s="52"/>
      <c r="T90" s="370"/>
      <c r="U90" s="52"/>
      <c r="V90" s="370"/>
      <c r="W90" s="52"/>
      <c r="X90" s="370"/>
      <c r="Y90" s="52"/>
      <c r="Z90" s="52"/>
      <c r="AA90" s="52"/>
      <c r="AB90" s="370"/>
      <c r="AC90" s="52"/>
      <c r="AD90" s="370"/>
      <c r="AE90" s="198" t="s">
        <v>0</v>
      </c>
    </row>
    <row r="91" spans="1:33" ht="17.25" customHeight="1" x14ac:dyDescent="0.5">
      <c r="B91" s="98"/>
      <c r="C91" s="232"/>
      <c r="D91" s="232"/>
      <c r="E91" s="229"/>
      <c r="F91" s="229"/>
      <c r="G91" s="196"/>
      <c r="H91" s="196"/>
      <c r="I91" s="376" t="s">
        <v>0</v>
      </c>
      <c r="J91" s="229"/>
      <c r="K91" s="231"/>
      <c r="L91" s="361"/>
      <c r="M91" s="52"/>
      <c r="N91" s="370"/>
      <c r="O91" s="52"/>
      <c r="P91" s="370"/>
      <c r="Q91" s="52"/>
      <c r="R91" s="370"/>
      <c r="S91" s="52"/>
      <c r="T91" s="370"/>
      <c r="U91" s="52"/>
      <c r="V91" s="370"/>
      <c r="W91" s="52" t="s">
        <v>0</v>
      </c>
      <c r="X91" s="370"/>
      <c r="Y91" s="52" t="s">
        <v>0</v>
      </c>
      <c r="Z91" s="52"/>
      <c r="AA91" s="52"/>
      <c r="AB91" s="370"/>
      <c r="AC91" s="52"/>
      <c r="AD91" s="370"/>
      <c r="AE91" s="198" t="s">
        <v>0</v>
      </c>
    </row>
    <row r="92" spans="1:33" s="233" customFormat="1" ht="18.399999999999999" thickBot="1" x14ac:dyDescent="0.6">
      <c r="B92" s="234"/>
      <c r="C92" s="235" t="s">
        <v>168</v>
      </c>
      <c r="D92" s="235"/>
      <c r="E92" s="236">
        <f>+E25-E89</f>
        <v>-99607.679999999935</v>
      </c>
      <c r="F92" s="236"/>
      <c r="G92" s="236">
        <f>+G25-G89</f>
        <v>6894</v>
      </c>
      <c r="H92" s="236"/>
      <c r="I92" s="377">
        <f>+I25-I89</f>
        <v>-99607.679999999935</v>
      </c>
      <c r="J92" s="237"/>
      <c r="K92" s="238">
        <f>+K25-K89</f>
        <v>-59608</v>
      </c>
      <c r="L92" s="362"/>
      <c r="M92" s="238">
        <f t="shared" ref="M92:AC92" si="25">+M25-M89</f>
        <v>0</v>
      </c>
      <c r="N92" s="362"/>
      <c r="O92" s="238">
        <f t="shared" si="25"/>
        <v>0</v>
      </c>
      <c r="P92" s="362"/>
      <c r="Q92" s="238">
        <f t="shared" si="25"/>
        <v>0</v>
      </c>
      <c r="R92" s="362"/>
      <c r="S92" s="238">
        <f t="shared" si="25"/>
        <v>0</v>
      </c>
      <c r="T92" s="362"/>
      <c r="U92" s="238">
        <f t="shared" si="25"/>
        <v>0</v>
      </c>
      <c r="V92" s="362"/>
      <c r="W92" s="238">
        <f>+W25-W89</f>
        <v>0</v>
      </c>
      <c r="X92" s="362"/>
      <c r="Y92" s="238">
        <f t="shared" si="25"/>
        <v>-40000</v>
      </c>
      <c r="Z92" s="238"/>
      <c r="AA92" s="238">
        <f t="shared" si="25"/>
        <v>0</v>
      </c>
      <c r="AB92" s="362"/>
      <c r="AC92" s="238">
        <f t="shared" si="25"/>
        <v>0</v>
      </c>
      <c r="AD92" s="362"/>
      <c r="AE92" s="239">
        <f>SUM(K92:AC92)</f>
        <v>-99608</v>
      </c>
      <c r="AF92" s="240" t="s">
        <v>0</v>
      </c>
      <c r="AG92" s="233" t="s">
        <v>0</v>
      </c>
    </row>
    <row r="93" spans="1:33" ht="16.149999999999999" thickTop="1" x14ac:dyDescent="0.5">
      <c r="B93" s="234"/>
      <c r="C93" s="232"/>
      <c r="D93" s="232"/>
      <c r="E93" s="229"/>
      <c r="F93" s="229"/>
      <c r="G93" s="196"/>
      <c r="H93" s="196"/>
      <c r="I93" s="376"/>
      <c r="J93" s="229"/>
      <c r="K93" s="229"/>
      <c r="L93" s="229"/>
      <c r="M93" s="178"/>
      <c r="N93" s="178"/>
      <c r="O93" s="178"/>
      <c r="P93" s="178"/>
      <c r="Q93" s="178"/>
      <c r="R93" s="178"/>
      <c r="S93" s="178"/>
      <c r="T93" s="178"/>
      <c r="U93" s="178"/>
      <c r="V93" s="178"/>
    </row>
    <row r="94" spans="1:33" x14ac:dyDescent="0.5">
      <c r="B94" s="98"/>
      <c r="C94" s="150"/>
      <c r="D94" s="150"/>
      <c r="E94" s="229"/>
      <c r="F94" s="229"/>
      <c r="G94" s="196"/>
      <c r="H94" s="196"/>
      <c r="I94" s="376"/>
      <c r="J94" s="229"/>
      <c r="K94" s="229"/>
      <c r="L94" s="229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241"/>
      <c r="X94" s="241"/>
      <c r="Y94" s="241"/>
      <c r="Z94" s="241"/>
    </row>
    <row r="95" spans="1:33" x14ac:dyDescent="0.5">
      <c r="B95" s="98"/>
      <c r="E95" s="229"/>
      <c r="F95" s="229"/>
      <c r="G95" s="196"/>
      <c r="H95" s="196"/>
      <c r="I95" s="229"/>
      <c r="J95" s="229"/>
      <c r="K95" s="229"/>
      <c r="L95" s="229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241"/>
      <c r="X95" s="241"/>
      <c r="Y95" s="241"/>
      <c r="Z95" s="241"/>
    </row>
    <row r="96" spans="1:33" x14ac:dyDescent="0.45">
      <c r="B96" s="98"/>
      <c r="C96" s="242"/>
      <c r="D96" s="242"/>
      <c r="E96" s="229"/>
      <c r="F96" s="229"/>
      <c r="G96" s="196"/>
      <c r="H96" s="196"/>
      <c r="I96" s="229"/>
      <c r="J96" s="229"/>
      <c r="K96" s="229"/>
      <c r="L96" s="229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52"/>
      <c r="X96" s="52"/>
      <c r="Y96" s="52"/>
      <c r="Z96" s="52"/>
    </row>
    <row r="97" spans="2:26" x14ac:dyDescent="0.5">
      <c r="B97" s="98"/>
      <c r="E97" s="229"/>
      <c r="F97" s="229"/>
      <c r="G97" s="196"/>
      <c r="H97" s="196"/>
      <c r="I97" s="229"/>
      <c r="J97" s="229"/>
      <c r="K97" s="229"/>
      <c r="L97" s="229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52"/>
      <c r="X97" s="52"/>
      <c r="Y97" s="52"/>
      <c r="Z97" s="52"/>
    </row>
    <row r="98" spans="2:26" x14ac:dyDescent="0.45">
      <c r="B98" s="243"/>
      <c r="C98" s="242"/>
      <c r="D98" s="242"/>
      <c r="E98" s="229"/>
      <c r="F98" s="229"/>
      <c r="G98" s="196"/>
      <c r="H98" s="196"/>
      <c r="I98" s="229"/>
      <c r="J98" s="229"/>
      <c r="K98" s="229"/>
      <c r="L98" s="229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52"/>
      <c r="X98" s="52"/>
      <c r="Y98" s="52"/>
      <c r="Z98" s="52"/>
    </row>
    <row r="99" spans="2:26" x14ac:dyDescent="0.5">
      <c r="B99" s="98"/>
      <c r="E99" s="229"/>
      <c r="F99" s="229"/>
      <c r="G99" s="196"/>
      <c r="H99" s="196"/>
      <c r="I99" s="229"/>
      <c r="J99" s="229"/>
      <c r="K99" s="229"/>
      <c r="L99" s="229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52"/>
      <c r="X99" s="52"/>
      <c r="Y99" s="52"/>
      <c r="Z99" s="52"/>
    </row>
    <row r="100" spans="2:26" x14ac:dyDescent="0.5">
      <c r="B100" s="98"/>
      <c r="E100" s="244"/>
      <c r="F100" s="244"/>
      <c r="G100" s="196"/>
      <c r="H100" s="196"/>
      <c r="I100" s="244"/>
      <c r="J100" s="244"/>
      <c r="K100" s="244"/>
      <c r="L100" s="244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52"/>
      <c r="X100" s="52"/>
      <c r="Y100" s="52"/>
      <c r="Z100" s="52"/>
    </row>
    <row r="101" spans="2:26" x14ac:dyDescent="0.5">
      <c r="B101" s="98"/>
      <c r="E101" s="244"/>
      <c r="F101" s="244"/>
      <c r="G101" s="196"/>
      <c r="H101" s="196"/>
      <c r="I101" s="244" t="s">
        <v>0</v>
      </c>
      <c r="J101" s="244"/>
      <c r="K101" s="244"/>
      <c r="L101" s="244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52"/>
      <c r="X101" s="52"/>
      <c r="Y101" s="52"/>
      <c r="Z101" s="52"/>
    </row>
    <row r="102" spans="2:26" x14ac:dyDescent="0.5">
      <c r="B102" s="98"/>
      <c r="E102" s="244"/>
      <c r="F102" s="244"/>
      <c r="G102" s="196"/>
      <c r="H102" s="196"/>
      <c r="I102" s="244"/>
      <c r="J102" s="244"/>
      <c r="K102" s="244"/>
      <c r="L102" s="244"/>
      <c r="M102" s="178"/>
      <c r="N102" s="178"/>
      <c r="O102" s="178"/>
      <c r="P102" s="178"/>
      <c r="Q102" s="178"/>
      <c r="R102" s="178"/>
      <c r="S102" s="178"/>
      <c r="T102" s="178"/>
      <c r="U102" s="245"/>
      <c r="V102" s="245"/>
      <c r="W102" s="52"/>
      <c r="X102" s="52"/>
      <c r="Y102" s="52"/>
      <c r="Z102" s="52"/>
    </row>
    <row r="103" spans="2:26" x14ac:dyDescent="0.5">
      <c r="B103" s="98"/>
      <c r="E103" s="244"/>
      <c r="F103" s="244"/>
      <c r="G103" s="196"/>
      <c r="H103" s="196"/>
      <c r="I103" s="244"/>
      <c r="J103" s="244"/>
      <c r="K103" s="244"/>
      <c r="L103" s="244"/>
      <c r="M103" s="7"/>
      <c r="N103" s="7"/>
      <c r="O103" s="7"/>
      <c r="P103" s="7"/>
      <c r="Q103" s="7"/>
      <c r="R103" s="7"/>
      <c r="S103" s="7"/>
      <c r="T103" s="7"/>
      <c r="U103" s="245"/>
      <c r="V103" s="245"/>
    </row>
    <row r="104" spans="2:26" x14ac:dyDescent="0.5">
      <c r="B104" s="98"/>
      <c r="E104" s="244"/>
      <c r="F104" s="244"/>
      <c r="G104" s="196"/>
      <c r="H104" s="196"/>
      <c r="I104" s="244"/>
      <c r="J104" s="244"/>
      <c r="K104" s="244"/>
      <c r="L104" s="244"/>
      <c r="M104" s="7"/>
      <c r="N104" s="7"/>
      <c r="O104" s="7"/>
      <c r="P104" s="7"/>
      <c r="Q104" s="7"/>
      <c r="R104" s="7"/>
      <c r="S104" s="7"/>
      <c r="T104" s="7"/>
      <c r="U104" s="245"/>
      <c r="V104" s="245"/>
      <c r="W104" s="241"/>
      <c r="X104" s="241"/>
    </row>
    <row r="105" spans="2:26" x14ac:dyDescent="0.5">
      <c r="B105" s="98"/>
      <c r="E105" s="244"/>
      <c r="F105" s="244"/>
      <c r="G105" s="196"/>
      <c r="H105" s="196"/>
      <c r="I105" s="244"/>
      <c r="J105" s="244"/>
      <c r="K105" s="244"/>
      <c r="L105" s="244"/>
      <c r="M105" s="7"/>
      <c r="N105" s="7"/>
      <c r="O105" s="7"/>
      <c r="P105" s="7"/>
      <c r="Q105" s="7"/>
      <c r="R105" s="7"/>
      <c r="S105" s="7"/>
      <c r="T105" s="7"/>
      <c r="U105" s="245"/>
      <c r="V105" s="245"/>
    </row>
    <row r="106" spans="2:26" x14ac:dyDescent="0.5">
      <c r="B106" s="98"/>
      <c r="E106" s="244"/>
      <c r="F106" s="244"/>
      <c r="G106" s="196"/>
      <c r="H106" s="196"/>
      <c r="I106" s="244"/>
      <c r="J106" s="244"/>
      <c r="K106" s="244"/>
      <c r="L106" s="244"/>
      <c r="M106" s="7"/>
      <c r="N106" s="7"/>
      <c r="O106" s="7"/>
      <c r="P106" s="7"/>
      <c r="Q106" s="7"/>
      <c r="R106" s="7"/>
      <c r="S106" s="7"/>
      <c r="T106" s="7"/>
      <c r="U106" s="245"/>
      <c r="V106" s="245"/>
    </row>
    <row r="107" spans="2:26" x14ac:dyDescent="0.5">
      <c r="B107" s="98"/>
      <c r="E107" s="244"/>
      <c r="F107" s="244"/>
      <c r="G107" s="196"/>
      <c r="H107" s="196"/>
      <c r="I107" s="244"/>
      <c r="J107" s="244"/>
      <c r="K107" s="244"/>
      <c r="L107" s="244"/>
      <c r="M107" s="7"/>
      <c r="N107" s="7"/>
      <c r="O107" s="7"/>
      <c r="P107" s="7"/>
      <c r="Q107" s="7"/>
      <c r="R107" s="7"/>
      <c r="S107" s="7"/>
      <c r="T107" s="7"/>
      <c r="U107" s="245"/>
      <c r="V107" s="245"/>
    </row>
    <row r="108" spans="2:26" x14ac:dyDescent="0.5">
      <c r="B108" s="98"/>
      <c r="E108" s="244"/>
      <c r="F108" s="244"/>
      <c r="G108" s="196"/>
      <c r="H108" s="196"/>
      <c r="I108" s="244"/>
      <c r="J108" s="244"/>
      <c r="K108" s="244"/>
      <c r="L108" s="244"/>
      <c r="M108" s="7"/>
      <c r="N108" s="7"/>
      <c r="O108" s="7"/>
      <c r="P108" s="7"/>
      <c r="Q108" s="7"/>
      <c r="R108" s="7"/>
      <c r="S108" s="7"/>
      <c r="T108" s="7"/>
      <c r="U108" s="245"/>
      <c r="V108" s="245"/>
    </row>
    <row r="109" spans="2:26" x14ac:dyDescent="0.5">
      <c r="B109" s="98"/>
      <c r="E109" s="244"/>
      <c r="F109" s="244"/>
      <c r="G109" s="196"/>
      <c r="H109" s="196"/>
      <c r="I109" s="244"/>
      <c r="J109" s="244"/>
      <c r="K109" s="244"/>
      <c r="L109" s="244"/>
      <c r="M109" s="7"/>
      <c r="N109" s="7"/>
      <c r="O109" s="7"/>
      <c r="P109" s="7"/>
      <c r="Q109" s="7"/>
      <c r="R109" s="7"/>
      <c r="S109" s="7"/>
      <c r="T109" s="7"/>
      <c r="U109" s="245"/>
      <c r="V109" s="245"/>
    </row>
    <row r="110" spans="2:26" x14ac:dyDescent="0.5">
      <c r="B110" s="19"/>
      <c r="E110" s="244"/>
      <c r="F110" s="244"/>
      <c r="G110" s="244"/>
      <c r="H110" s="244"/>
      <c r="I110" s="244"/>
      <c r="J110" s="244"/>
      <c r="K110" s="244"/>
      <c r="L110" s="244"/>
      <c r="M110" s="7"/>
      <c r="N110" s="7"/>
      <c r="O110" s="7"/>
      <c r="P110" s="7"/>
      <c r="Q110" s="7"/>
      <c r="R110" s="7"/>
      <c r="S110" s="7"/>
      <c r="T110" s="7"/>
      <c r="U110" s="245"/>
      <c r="V110" s="245"/>
    </row>
    <row r="111" spans="2:26" x14ac:dyDescent="0.5">
      <c r="B111" s="149"/>
      <c r="E111" s="244"/>
      <c r="F111" s="244"/>
      <c r="G111" s="244"/>
      <c r="H111" s="244"/>
      <c r="I111" s="244"/>
      <c r="J111" s="244"/>
      <c r="K111" s="244"/>
      <c r="L111" s="244"/>
      <c r="M111" s="7"/>
      <c r="N111" s="7"/>
      <c r="O111" s="7"/>
      <c r="P111" s="7"/>
      <c r="Q111" s="7"/>
      <c r="R111" s="7"/>
      <c r="S111" s="7"/>
      <c r="T111" s="7"/>
      <c r="U111" s="245"/>
      <c r="V111" s="245"/>
    </row>
    <row r="112" spans="2:26" x14ac:dyDescent="0.5">
      <c r="B112" s="149"/>
      <c r="E112" s="244"/>
      <c r="F112" s="244"/>
      <c r="G112" s="244"/>
      <c r="H112" s="244"/>
      <c r="I112" s="244"/>
      <c r="J112" s="244"/>
      <c r="K112" s="244"/>
      <c r="L112" s="244"/>
      <c r="M112" s="7"/>
      <c r="N112" s="7"/>
      <c r="O112" s="7"/>
      <c r="P112" s="7"/>
      <c r="Q112" s="7"/>
      <c r="R112" s="7"/>
      <c r="S112" s="7"/>
      <c r="T112" s="7"/>
      <c r="U112" s="245"/>
      <c r="V112" s="245"/>
    </row>
    <row r="113" spans="2:22" x14ac:dyDescent="0.5">
      <c r="B113" s="149"/>
      <c r="E113" s="244"/>
      <c r="F113" s="244"/>
      <c r="G113" s="244"/>
      <c r="H113" s="244"/>
      <c r="I113" s="244"/>
      <c r="J113" s="244"/>
      <c r="K113" s="244"/>
      <c r="L113" s="244"/>
      <c r="M113" s="7"/>
      <c r="N113" s="7"/>
      <c r="O113" s="7"/>
      <c r="P113" s="7"/>
      <c r="Q113" s="7"/>
      <c r="R113" s="7"/>
      <c r="S113" s="7"/>
      <c r="T113" s="7"/>
      <c r="U113" s="245"/>
      <c r="V113" s="245"/>
    </row>
    <row r="114" spans="2:22" x14ac:dyDescent="0.5">
      <c r="B114" s="149"/>
      <c r="E114" s="244"/>
      <c r="F114" s="244"/>
      <c r="G114" s="244"/>
      <c r="H114" s="244"/>
      <c r="I114" s="244"/>
      <c r="J114" s="244"/>
      <c r="K114" s="244"/>
      <c r="L114" s="244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2:22" x14ac:dyDescent="0.5">
      <c r="B115" s="149"/>
      <c r="E115" s="244"/>
      <c r="F115" s="244"/>
      <c r="G115" s="244"/>
      <c r="H115" s="244"/>
      <c r="I115" s="244"/>
      <c r="J115" s="244"/>
      <c r="K115" s="244"/>
      <c r="L115" s="244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2:22" x14ac:dyDescent="0.5">
      <c r="B116" s="149"/>
      <c r="E116" s="244"/>
      <c r="F116" s="244"/>
      <c r="G116" s="244"/>
      <c r="H116" s="244"/>
      <c r="I116" s="244"/>
      <c r="J116" s="244"/>
      <c r="K116" s="244"/>
      <c r="L116" s="244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2:22" x14ac:dyDescent="0.5">
      <c r="B117" s="149"/>
      <c r="E117" s="246"/>
      <c r="F117" s="246"/>
      <c r="G117" s="246"/>
      <c r="H117" s="246"/>
      <c r="I117" s="246"/>
      <c r="J117" s="246"/>
      <c r="K117" s="246"/>
      <c r="L117" s="246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2:22" x14ac:dyDescent="0.5">
      <c r="B118" s="149"/>
      <c r="E118" s="246"/>
      <c r="F118" s="246"/>
      <c r="G118" s="246"/>
      <c r="H118" s="246"/>
      <c r="I118" s="246"/>
      <c r="J118" s="246"/>
      <c r="K118" s="246"/>
      <c r="L118" s="246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2:22" x14ac:dyDescent="0.5">
      <c r="B119" s="149"/>
      <c r="E119" s="246"/>
      <c r="F119" s="246"/>
      <c r="G119" s="246"/>
      <c r="H119" s="246"/>
      <c r="I119" s="246"/>
      <c r="J119" s="246"/>
      <c r="K119" s="246"/>
      <c r="L119" s="246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2:22" x14ac:dyDescent="0.5">
      <c r="B120" s="149"/>
      <c r="E120" s="246"/>
      <c r="F120" s="246"/>
      <c r="G120" s="246"/>
      <c r="H120" s="246"/>
      <c r="I120" s="246"/>
      <c r="J120" s="246"/>
      <c r="K120" s="246"/>
      <c r="L120" s="246"/>
    </row>
    <row r="121" spans="2:22" x14ac:dyDescent="0.5">
      <c r="B121" s="149"/>
      <c r="E121" s="246"/>
      <c r="F121" s="246"/>
      <c r="G121" s="246"/>
      <c r="H121" s="246"/>
      <c r="I121" s="246"/>
      <c r="J121" s="246"/>
      <c r="K121" s="246"/>
      <c r="L121" s="246"/>
    </row>
    <row r="122" spans="2:22" x14ac:dyDescent="0.5">
      <c r="B122" s="149"/>
      <c r="E122" s="246"/>
      <c r="F122" s="246"/>
      <c r="G122" s="246"/>
      <c r="H122" s="246"/>
      <c r="I122" s="246"/>
      <c r="J122" s="246"/>
      <c r="K122" s="246"/>
      <c r="L122" s="246"/>
    </row>
    <row r="123" spans="2:22" x14ac:dyDescent="0.5">
      <c r="B123" s="149"/>
      <c r="E123" s="246"/>
      <c r="F123" s="246"/>
      <c r="G123" s="246"/>
      <c r="H123" s="246"/>
      <c r="I123" s="246"/>
      <c r="J123" s="246"/>
      <c r="K123" s="246"/>
      <c r="L123" s="246"/>
    </row>
    <row r="124" spans="2:22" x14ac:dyDescent="0.5">
      <c r="B124" s="149"/>
      <c r="E124" s="246"/>
      <c r="F124" s="246"/>
      <c r="G124" s="246"/>
      <c r="H124" s="246"/>
      <c r="I124" s="246"/>
      <c r="J124" s="246"/>
      <c r="K124" s="246"/>
      <c r="L124" s="246"/>
    </row>
    <row r="125" spans="2:22" x14ac:dyDescent="0.5">
      <c r="B125" s="149"/>
      <c r="E125" s="246"/>
      <c r="F125" s="246"/>
      <c r="G125" s="246"/>
      <c r="H125" s="246"/>
      <c r="I125" s="246"/>
      <c r="J125" s="246"/>
      <c r="K125" s="246"/>
      <c r="L125" s="246"/>
    </row>
    <row r="126" spans="2:22" x14ac:dyDescent="0.5">
      <c r="B126" s="149"/>
      <c r="E126" s="246"/>
      <c r="F126" s="246"/>
      <c r="G126" s="246"/>
      <c r="H126" s="246"/>
      <c r="I126" s="246"/>
      <c r="J126" s="246"/>
      <c r="K126" s="246"/>
      <c r="L126" s="246"/>
    </row>
    <row r="127" spans="2:22" x14ac:dyDescent="0.5">
      <c r="B127" s="149"/>
      <c r="E127" s="246"/>
      <c r="F127" s="246"/>
      <c r="G127" s="246"/>
      <c r="H127" s="246"/>
      <c r="I127" s="246"/>
      <c r="J127" s="246"/>
      <c r="K127" s="246"/>
      <c r="L127" s="246"/>
    </row>
    <row r="128" spans="2:22" x14ac:dyDescent="0.5">
      <c r="B128" s="149"/>
      <c r="E128" s="246"/>
      <c r="F128" s="246"/>
      <c r="G128" s="246"/>
      <c r="H128" s="246"/>
      <c r="I128" s="246"/>
      <c r="J128" s="246"/>
      <c r="K128" s="246"/>
      <c r="L128" s="246"/>
    </row>
    <row r="129" spans="2:12" x14ac:dyDescent="0.5">
      <c r="B129" s="149"/>
      <c r="E129" s="246"/>
      <c r="F129" s="246"/>
      <c r="G129" s="246"/>
      <c r="H129" s="246"/>
      <c r="I129" s="246"/>
      <c r="J129" s="246"/>
      <c r="K129" s="246"/>
      <c r="L129" s="246"/>
    </row>
    <row r="130" spans="2:12" x14ac:dyDescent="0.5">
      <c r="B130" s="149"/>
      <c r="E130" s="246"/>
      <c r="F130" s="246"/>
      <c r="G130" s="246"/>
      <c r="H130" s="246"/>
      <c r="I130" s="246"/>
      <c r="J130" s="246"/>
      <c r="K130" s="246"/>
      <c r="L130" s="246"/>
    </row>
    <row r="131" spans="2:12" x14ac:dyDescent="0.5">
      <c r="B131" s="149"/>
      <c r="E131" s="246"/>
      <c r="F131" s="246"/>
      <c r="G131" s="246"/>
      <c r="H131" s="246"/>
      <c r="I131" s="246"/>
      <c r="J131" s="246"/>
      <c r="K131" s="246"/>
      <c r="L131" s="246"/>
    </row>
    <row r="132" spans="2:12" x14ac:dyDescent="0.5">
      <c r="B132" s="149"/>
      <c r="E132" s="246"/>
      <c r="F132" s="246"/>
      <c r="G132" s="246"/>
      <c r="H132" s="246"/>
      <c r="I132" s="246"/>
      <c r="J132" s="246"/>
      <c r="K132" s="246"/>
      <c r="L132" s="246"/>
    </row>
    <row r="133" spans="2:12" x14ac:dyDescent="0.5">
      <c r="B133" s="149"/>
      <c r="E133" s="246"/>
      <c r="F133" s="246"/>
      <c r="G133" s="246"/>
      <c r="H133" s="246"/>
      <c r="I133" s="246"/>
      <c r="J133" s="246"/>
      <c r="K133" s="246"/>
      <c r="L133" s="246"/>
    </row>
    <row r="134" spans="2:12" x14ac:dyDescent="0.5">
      <c r="B134" s="149"/>
      <c r="E134" s="246"/>
      <c r="F134" s="246"/>
      <c r="G134" s="246"/>
      <c r="H134" s="246"/>
      <c r="I134" s="246"/>
      <c r="J134" s="246"/>
      <c r="K134" s="246"/>
      <c r="L134" s="246"/>
    </row>
    <row r="135" spans="2:12" x14ac:dyDescent="0.5">
      <c r="B135" s="149"/>
      <c r="E135" s="246"/>
      <c r="F135" s="246"/>
      <c r="G135" s="246"/>
      <c r="H135" s="246"/>
      <c r="I135" s="246"/>
      <c r="J135" s="246"/>
      <c r="K135" s="246"/>
      <c r="L135" s="246"/>
    </row>
    <row r="136" spans="2:12" x14ac:dyDescent="0.5">
      <c r="B136" s="149"/>
      <c r="E136" s="246"/>
      <c r="F136" s="246"/>
      <c r="G136" s="246"/>
      <c r="H136" s="246"/>
      <c r="I136" s="246"/>
      <c r="J136" s="246"/>
      <c r="K136" s="246"/>
      <c r="L136" s="246"/>
    </row>
    <row r="137" spans="2:12" x14ac:dyDescent="0.5">
      <c r="B137" s="149"/>
      <c r="E137" s="246"/>
      <c r="F137" s="246"/>
      <c r="G137" s="246"/>
      <c r="H137" s="246"/>
      <c r="I137" s="246"/>
      <c r="J137" s="246"/>
      <c r="K137" s="246"/>
      <c r="L137" s="246"/>
    </row>
    <row r="138" spans="2:12" x14ac:dyDescent="0.5">
      <c r="B138" s="149"/>
      <c r="E138" s="246"/>
      <c r="F138" s="246"/>
      <c r="G138" s="246"/>
      <c r="H138" s="246"/>
      <c r="I138" s="246"/>
      <c r="J138" s="246"/>
      <c r="K138" s="246"/>
      <c r="L138" s="246"/>
    </row>
    <row r="139" spans="2:12" x14ac:dyDescent="0.5">
      <c r="B139" s="149"/>
      <c r="E139" s="246"/>
      <c r="F139" s="246"/>
      <c r="G139" s="246"/>
      <c r="H139" s="246"/>
      <c r="I139" s="246"/>
      <c r="J139" s="246"/>
      <c r="K139" s="246"/>
      <c r="L139" s="246"/>
    </row>
    <row r="140" spans="2:12" x14ac:dyDescent="0.5">
      <c r="B140" s="149"/>
      <c r="E140" s="246"/>
      <c r="F140" s="246"/>
      <c r="G140" s="246"/>
      <c r="H140" s="246"/>
      <c r="I140" s="246"/>
      <c r="J140" s="246"/>
      <c r="K140" s="246"/>
      <c r="L140" s="246"/>
    </row>
    <row r="141" spans="2:12" x14ac:dyDescent="0.5">
      <c r="B141" s="149"/>
      <c r="E141" s="246"/>
      <c r="F141" s="246"/>
      <c r="G141" s="246"/>
      <c r="H141" s="246"/>
      <c r="I141" s="246"/>
      <c r="J141" s="246"/>
      <c r="K141" s="246"/>
      <c r="L141" s="246"/>
    </row>
    <row r="142" spans="2:12" x14ac:dyDescent="0.5">
      <c r="B142" s="149"/>
      <c r="E142" s="246"/>
      <c r="F142" s="246"/>
      <c r="G142" s="246"/>
      <c r="H142" s="246"/>
      <c r="I142" s="246"/>
      <c r="J142" s="246"/>
      <c r="K142" s="246"/>
      <c r="L142" s="246"/>
    </row>
    <row r="143" spans="2:12" x14ac:dyDescent="0.5">
      <c r="B143" s="149"/>
      <c r="E143" s="246"/>
      <c r="F143" s="246"/>
      <c r="G143" s="246"/>
      <c r="H143" s="246"/>
      <c r="I143" s="246"/>
      <c r="J143" s="246"/>
      <c r="K143" s="246"/>
      <c r="L143" s="246"/>
    </row>
    <row r="144" spans="2:12" x14ac:dyDescent="0.5">
      <c r="B144" s="149"/>
      <c r="E144" s="246"/>
      <c r="F144" s="246"/>
      <c r="G144" s="246"/>
      <c r="H144" s="246"/>
      <c r="I144" s="246"/>
      <c r="J144" s="246"/>
      <c r="K144" s="246"/>
      <c r="L144" s="246"/>
    </row>
    <row r="145" spans="2:12" x14ac:dyDescent="0.5">
      <c r="B145" s="149"/>
      <c r="E145" s="246"/>
      <c r="F145" s="246"/>
      <c r="G145" s="246"/>
      <c r="H145" s="246"/>
      <c r="I145" s="246"/>
      <c r="J145" s="246"/>
      <c r="K145" s="246"/>
      <c r="L145" s="246"/>
    </row>
    <row r="146" spans="2:12" x14ac:dyDescent="0.5">
      <c r="B146" s="149"/>
      <c r="E146" s="246"/>
      <c r="F146" s="246"/>
      <c r="G146" s="246"/>
      <c r="H146" s="246"/>
      <c r="I146" s="246"/>
      <c r="J146" s="246"/>
      <c r="K146" s="246"/>
      <c r="L146" s="246"/>
    </row>
    <row r="147" spans="2:12" x14ac:dyDescent="0.5">
      <c r="B147" s="149"/>
      <c r="E147" s="246"/>
      <c r="F147" s="246"/>
      <c r="G147" s="246"/>
      <c r="H147" s="246"/>
      <c r="I147" s="246"/>
      <c r="J147" s="246"/>
      <c r="K147" s="246"/>
      <c r="L147" s="246"/>
    </row>
    <row r="148" spans="2:12" x14ac:dyDescent="0.5">
      <c r="B148" s="149"/>
      <c r="E148" s="246"/>
      <c r="F148" s="246"/>
      <c r="G148" s="246"/>
      <c r="H148" s="246"/>
      <c r="I148" s="246"/>
      <c r="J148" s="246"/>
      <c r="K148" s="246"/>
      <c r="L148" s="246"/>
    </row>
    <row r="149" spans="2:12" x14ac:dyDescent="0.5">
      <c r="B149" s="149"/>
      <c r="E149" s="246"/>
      <c r="F149" s="246"/>
      <c r="G149" s="246"/>
      <c r="H149" s="246"/>
      <c r="I149" s="246"/>
      <c r="J149" s="246"/>
      <c r="K149" s="246"/>
      <c r="L149" s="246"/>
    </row>
    <row r="150" spans="2:12" x14ac:dyDescent="0.5">
      <c r="B150" s="149"/>
      <c r="E150" s="246"/>
      <c r="F150" s="246"/>
      <c r="G150" s="246"/>
      <c r="H150" s="246"/>
      <c r="I150" s="246"/>
      <c r="J150" s="246"/>
      <c r="K150" s="246"/>
      <c r="L150" s="246"/>
    </row>
    <row r="151" spans="2:12" x14ac:dyDescent="0.5">
      <c r="B151" s="149"/>
      <c r="E151" s="246"/>
      <c r="F151" s="246"/>
      <c r="G151" s="246"/>
      <c r="H151" s="246"/>
      <c r="I151" s="246"/>
      <c r="J151" s="246"/>
      <c r="K151" s="246"/>
      <c r="L151" s="246"/>
    </row>
    <row r="152" spans="2:12" x14ac:dyDescent="0.5">
      <c r="B152" s="149"/>
      <c r="E152" s="246"/>
      <c r="F152" s="246"/>
      <c r="G152" s="246"/>
      <c r="H152" s="246"/>
      <c r="I152" s="246"/>
      <c r="J152" s="246"/>
      <c r="K152" s="246"/>
      <c r="L152" s="246"/>
    </row>
    <row r="153" spans="2:12" x14ac:dyDescent="0.5">
      <c r="B153" s="149"/>
      <c r="E153" s="246"/>
      <c r="F153" s="246"/>
      <c r="G153" s="246"/>
      <c r="H153" s="246"/>
      <c r="I153" s="246"/>
      <c r="J153" s="246"/>
      <c r="K153" s="246"/>
      <c r="L153" s="246"/>
    </row>
    <row r="154" spans="2:12" x14ac:dyDescent="0.5">
      <c r="B154" s="149"/>
      <c r="E154" s="246"/>
      <c r="F154" s="246"/>
      <c r="G154" s="246"/>
      <c r="H154" s="246"/>
      <c r="I154" s="246"/>
      <c r="J154" s="246"/>
      <c r="K154" s="246"/>
      <c r="L154" s="246"/>
    </row>
    <row r="155" spans="2:12" x14ac:dyDescent="0.5">
      <c r="B155" s="149"/>
      <c r="E155" s="246"/>
      <c r="F155" s="246"/>
      <c r="G155" s="246"/>
      <c r="H155" s="246"/>
      <c r="I155" s="246"/>
      <c r="J155" s="246"/>
      <c r="K155" s="246"/>
      <c r="L155" s="246"/>
    </row>
    <row r="156" spans="2:12" x14ac:dyDescent="0.5">
      <c r="B156" s="149"/>
      <c r="E156" s="246"/>
      <c r="F156" s="246"/>
      <c r="G156" s="246"/>
      <c r="H156" s="246"/>
      <c r="I156" s="246"/>
      <c r="J156" s="246"/>
      <c r="K156" s="246"/>
      <c r="L156" s="246"/>
    </row>
    <row r="157" spans="2:12" x14ac:dyDescent="0.5">
      <c r="B157" s="149"/>
      <c r="E157" s="246"/>
      <c r="F157" s="246"/>
      <c r="G157" s="246"/>
      <c r="H157" s="246"/>
      <c r="I157" s="246"/>
      <c r="J157" s="246"/>
      <c r="K157" s="246"/>
      <c r="L157" s="246"/>
    </row>
    <row r="158" spans="2:12" x14ac:dyDescent="0.5">
      <c r="B158" s="149"/>
      <c r="E158" s="246"/>
      <c r="F158" s="246"/>
      <c r="G158" s="246"/>
      <c r="H158" s="246"/>
      <c r="I158" s="246"/>
      <c r="J158" s="246"/>
      <c r="K158" s="246"/>
      <c r="L158" s="246"/>
    </row>
    <row r="159" spans="2:12" x14ac:dyDescent="0.5">
      <c r="B159" s="149"/>
      <c r="E159" s="246"/>
      <c r="F159" s="246"/>
      <c r="G159" s="246"/>
      <c r="H159" s="246"/>
      <c r="I159" s="246"/>
      <c r="J159" s="246"/>
      <c r="K159" s="246"/>
      <c r="L159" s="246"/>
    </row>
    <row r="160" spans="2:12" x14ac:dyDescent="0.5">
      <c r="B160" s="149"/>
      <c r="E160" s="246"/>
      <c r="F160" s="246"/>
      <c r="G160" s="246"/>
      <c r="H160" s="246"/>
      <c r="I160" s="246"/>
      <c r="J160" s="246"/>
      <c r="K160" s="246"/>
      <c r="L160" s="246"/>
    </row>
    <row r="161" spans="2:12" x14ac:dyDescent="0.5">
      <c r="B161" s="149"/>
      <c r="E161" s="246"/>
      <c r="F161" s="246"/>
      <c r="G161" s="246"/>
      <c r="H161" s="246"/>
      <c r="I161" s="246"/>
      <c r="J161" s="246"/>
      <c r="K161" s="246"/>
      <c r="L161" s="246"/>
    </row>
    <row r="162" spans="2:12" x14ac:dyDescent="0.5">
      <c r="B162" s="149"/>
      <c r="E162" s="246"/>
      <c r="F162" s="246"/>
      <c r="G162" s="246"/>
      <c r="H162" s="246"/>
      <c r="I162" s="246"/>
      <c r="J162" s="246"/>
      <c r="K162" s="246"/>
      <c r="L162" s="246"/>
    </row>
    <row r="163" spans="2:12" x14ac:dyDescent="0.5">
      <c r="B163" s="149"/>
      <c r="E163" s="246"/>
      <c r="F163" s="246"/>
      <c r="G163" s="246"/>
      <c r="H163" s="246"/>
      <c r="I163" s="246"/>
      <c r="J163" s="246"/>
      <c r="K163" s="246"/>
      <c r="L163" s="246"/>
    </row>
    <row r="164" spans="2:12" x14ac:dyDescent="0.5">
      <c r="B164" s="149"/>
      <c r="E164" s="246"/>
      <c r="F164" s="246"/>
      <c r="G164" s="246"/>
      <c r="H164" s="246"/>
      <c r="I164" s="246"/>
      <c r="J164" s="246"/>
      <c r="K164" s="246"/>
      <c r="L164" s="246"/>
    </row>
    <row r="165" spans="2:12" x14ac:dyDescent="0.5">
      <c r="B165" s="149"/>
      <c r="E165" s="246"/>
      <c r="F165" s="246"/>
      <c r="G165" s="246"/>
      <c r="H165" s="246"/>
      <c r="I165" s="246"/>
      <c r="J165" s="246"/>
      <c r="K165" s="246"/>
      <c r="L165" s="246"/>
    </row>
    <row r="166" spans="2:12" x14ac:dyDescent="0.5">
      <c r="B166" s="149"/>
      <c r="E166" s="246"/>
      <c r="F166" s="246"/>
      <c r="G166" s="246"/>
      <c r="H166" s="246"/>
      <c r="I166" s="246"/>
      <c r="J166" s="246"/>
      <c r="K166" s="246"/>
      <c r="L166" s="246"/>
    </row>
    <row r="167" spans="2:12" x14ac:dyDescent="0.5">
      <c r="B167" s="149"/>
      <c r="E167" s="246"/>
      <c r="F167" s="246"/>
      <c r="G167" s="246"/>
      <c r="H167" s="246"/>
      <c r="I167" s="246"/>
      <c r="J167" s="246"/>
      <c r="K167" s="246"/>
      <c r="L167" s="246"/>
    </row>
    <row r="168" spans="2:12" x14ac:dyDescent="0.5">
      <c r="B168" s="149"/>
      <c r="E168" s="246"/>
      <c r="F168" s="246"/>
      <c r="G168" s="246"/>
      <c r="H168" s="246"/>
      <c r="I168" s="246"/>
      <c r="J168" s="246"/>
      <c r="K168" s="246"/>
      <c r="L168" s="246"/>
    </row>
    <row r="169" spans="2:12" x14ac:dyDescent="0.5">
      <c r="B169" s="149"/>
      <c r="E169" s="246"/>
      <c r="F169" s="246"/>
      <c r="G169" s="246"/>
      <c r="H169" s="246"/>
      <c r="I169" s="246"/>
      <c r="J169" s="246"/>
      <c r="K169" s="246"/>
      <c r="L169" s="246"/>
    </row>
    <row r="170" spans="2:12" x14ac:dyDescent="0.5">
      <c r="B170" s="149"/>
      <c r="E170" s="246"/>
      <c r="F170" s="246"/>
      <c r="G170" s="246"/>
      <c r="H170" s="246"/>
      <c r="I170" s="246"/>
      <c r="J170" s="246"/>
      <c r="K170" s="246"/>
      <c r="L170" s="246"/>
    </row>
    <row r="171" spans="2:12" x14ac:dyDescent="0.5">
      <c r="B171" s="149"/>
      <c r="E171" s="246"/>
      <c r="F171" s="246"/>
      <c r="G171" s="246"/>
      <c r="H171" s="246"/>
      <c r="I171" s="246"/>
      <c r="J171" s="246"/>
      <c r="K171" s="246"/>
      <c r="L171" s="246"/>
    </row>
    <row r="172" spans="2:12" x14ac:dyDescent="0.5">
      <c r="B172" s="149"/>
      <c r="E172" s="246"/>
      <c r="F172" s="246"/>
      <c r="G172" s="246"/>
      <c r="H172" s="246"/>
      <c r="I172" s="246"/>
      <c r="J172" s="246"/>
      <c r="K172" s="246"/>
      <c r="L172" s="246"/>
    </row>
    <row r="173" spans="2:12" x14ac:dyDescent="0.5">
      <c r="B173" s="149"/>
      <c r="E173" s="246"/>
      <c r="F173" s="246"/>
      <c r="G173" s="246"/>
      <c r="H173" s="246"/>
      <c r="I173" s="246"/>
      <c r="J173" s="246"/>
      <c r="K173" s="246"/>
      <c r="L173" s="246"/>
    </row>
    <row r="174" spans="2:12" x14ac:dyDescent="0.5">
      <c r="B174" s="149"/>
      <c r="E174" s="246"/>
      <c r="F174" s="246"/>
      <c r="G174" s="246"/>
      <c r="H174" s="246"/>
      <c r="I174" s="246"/>
      <c r="J174" s="246"/>
      <c r="K174" s="246"/>
      <c r="L174" s="246"/>
    </row>
    <row r="175" spans="2:12" x14ac:dyDescent="0.5">
      <c r="B175" s="149"/>
      <c r="E175" s="246"/>
      <c r="F175" s="246"/>
      <c r="G175" s="246"/>
      <c r="H175" s="246"/>
      <c r="I175" s="246"/>
      <c r="J175" s="246"/>
      <c r="K175" s="246"/>
      <c r="L175" s="246"/>
    </row>
    <row r="176" spans="2:12" x14ac:dyDescent="0.5">
      <c r="B176" s="149"/>
      <c r="E176" s="246"/>
      <c r="F176" s="246"/>
      <c r="G176" s="246"/>
      <c r="H176" s="246"/>
      <c r="I176" s="246"/>
      <c r="J176" s="246"/>
      <c r="K176" s="246"/>
      <c r="L176" s="246"/>
    </row>
    <row r="177" spans="2:12" x14ac:dyDescent="0.5">
      <c r="B177" s="149"/>
      <c r="E177" s="246"/>
      <c r="F177" s="246"/>
      <c r="G177" s="246"/>
      <c r="H177" s="246"/>
      <c r="I177" s="246"/>
      <c r="J177" s="246"/>
      <c r="K177" s="246"/>
      <c r="L177" s="246"/>
    </row>
    <row r="178" spans="2:12" x14ac:dyDescent="0.5">
      <c r="B178" s="149"/>
      <c r="E178" s="246"/>
      <c r="F178" s="246"/>
      <c r="G178" s="246"/>
      <c r="H178" s="246"/>
      <c r="I178" s="246"/>
      <c r="J178" s="246"/>
      <c r="K178" s="246"/>
      <c r="L178" s="246"/>
    </row>
    <row r="179" spans="2:12" x14ac:dyDescent="0.5">
      <c r="B179" s="149"/>
      <c r="E179" s="246"/>
      <c r="F179" s="246"/>
      <c r="G179" s="246"/>
      <c r="H179" s="246"/>
      <c r="I179" s="246"/>
      <c r="J179" s="246"/>
      <c r="K179" s="246"/>
      <c r="L179" s="246"/>
    </row>
    <row r="180" spans="2:12" x14ac:dyDescent="0.5">
      <c r="B180" s="149"/>
      <c r="E180" s="246"/>
      <c r="F180" s="246"/>
      <c r="G180" s="246"/>
      <c r="H180" s="246"/>
      <c r="I180" s="246"/>
      <c r="J180" s="246"/>
      <c r="K180" s="246"/>
      <c r="L180" s="246"/>
    </row>
    <row r="181" spans="2:12" x14ac:dyDescent="0.5">
      <c r="B181" s="149"/>
      <c r="E181" s="246"/>
      <c r="F181" s="246"/>
      <c r="G181" s="246"/>
      <c r="H181" s="246"/>
      <c r="I181" s="246"/>
      <c r="J181" s="246"/>
      <c r="K181" s="246"/>
      <c r="L181" s="246"/>
    </row>
    <row r="182" spans="2:12" x14ac:dyDescent="0.5">
      <c r="B182" s="149"/>
      <c r="E182" s="246"/>
      <c r="F182" s="246"/>
      <c r="G182" s="246"/>
      <c r="H182" s="246"/>
      <c r="I182" s="246"/>
      <c r="J182" s="246"/>
      <c r="K182" s="246"/>
      <c r="L182" s="246"/>
    </row>
    <row r="183" spans="2:12" x14ac:dyDescent="0.5">
      <c r="B183" s="149"/>
      <c r="E183" s="246"/>
      <c r="F183" s="246"/>
      <c r="G183" s="246"/>
      <c r="H183" s="246"/>
      <c r="I183" s="246"/>
      <c r="J183" s="246"/>
      <c r="K183" s="246"/>
      <c r="L183" s="246"/>
    </row>
    <row r="184" spans="2:12" x14ac:dyDescent="0.5">
      <c r="B184" s="149"/>
      <c r="E184" s="246"/>
      <c r="F184" s="246"/>
      <c r="G184" s="246"/>
      <c r="H184" s="246"/>
      <c r="I184" s="246"/>
      <c r="J184" s="246"/>
      <c r="K184" s="246"/>
      <c r="L184" s="246"/>
    </row>
    <row r="185" spans="2:12" x14ac:dyDescent="0.5">
      <c r="B185" s="149"/>
      <c r="E185" s="246"/>
      <c r="F185" s="246"/>
      <c r="G185" s="246"/>
      <c r="H185" s="246"/>
      <c r="I185" s="246"/>
      <c r="J185" s="246"/>
      <c r="K185" s="246"/>
      <c r="L185" s="246"/>
    </row>
    <row r="186" spans="2:12" x14ac:dyDescent="0.5">
      <c r="B186" s="149"/>
      <c r="E186" s="247"/>
      <c r="F186" s="247"/>
      <c r="G186" s="247"/>
      <c r="H186" s="247"/>
      <c r="I186" s="247"/>
      <c r="J186" s="247"/>
      <c r="K186" s="247"/>
      <c r="L186" s="247"/>
    </row>
    <row r="187" spans="2:12" x14ac:dyDescent="0.5">
      <c r="B187" s="149"/>
      <c r="E187" s="247"/>
      <c r="F187" s="247"/>
      <c r="G187" s="247"/>
      <c r="H187" s="247"/>
      <c r="I187" s="247"/>
      <c r="J187" s="247"/>
      <c r="K187" s="247"/>
      <c r="L187" s="247"/>
    </row>
    <row r="188" spans="2:12" x14ac:dyDescent="0.5">
      <c r="B188" s="149"/>
      <c r="E188" s="247"/>
      <c r="F188" s="247"/>
      <c r="G188" s="247"/>
      <c r="H188" s="247"/>
      <c r="I188" s="247"/>
      <c r="J188" s="247"/>
      <c r="K188" s="247"/>
      <c r="L188" s="247"/>
    </row>
    <row r="189" spans="2:12" x14ac:dyDescent="0.5">
      <c r="B189" s="149"/>
      <c r="E189" s="247"/>
      <c r="F189" s="247"/>
      <c r="G189" s="247"/>
      <c r="H189" s="247"/>
      <c r="I189" s="247"/>
      <c r="J189" s="247"/>
      <c r="K189" s="247"/>
      <c r="L189" s="247"/>
    </row>
    <row r="190" spans="2:12" x14ac:dyDescent="0.5">
      <c r="B190" s="149"/>
      <c r="E190" s="247"/>
      <c r="F190" s="247"/>
      <c r="G190" s="247"/>
      <c r="H190" s="247"/>
      <c r="I190" s="247"/>
      <c r="J190" s="247"/>
      <c r="K190" s="247"/>
      <c r="L190" s="247"/>
    </row>
    <row r="191" spans="2:12" x14ac:dyDescent="0.5">
      <c r="B191" s="149"/>
      <c r="E191" s="247"/>
      <c r="F191" s="247"/>
      <c r="G191" s="247"/>
      <c r="H191" s="247"/>
      <c r="I191" s="247"/>
      <c r="J191" s="247"/>
      <c r="K191" s="247"/>
      <c r="L191" s="247"/>
    </row>
    <row r="192" spans="2:12" x14ac:dyDescent="0.5">
      <c r="B192" s="149"/>
      <c r="E192" s="247"/>
      <c r="F192" s="247"/>
      <c r="G192" s="247"/>
      <c r="H192" s="247"/>
      <c r="I192" s="247"/>
      <c r="J192" s="247"/>
      <c r="K192" s="247"/>
      <c r="L192" s="247"/>
    </row>
    <row r="193" spans="2:12" x14ac:dyDescent="0.5">
      <c r="B193" s="149"/>
      <c r="E193" s="247"/>
      <c r="F193" s="247"/>
      <c r="G193" s="247"/>
      <c r="H193" s="247"/>
      <c r="I193" s="247"/>
      <c r="J193" s="247"/>
      <c r="K193" s="247"/>
      <c r="L193" s="247"/>
    </row>
    <row r="194" spans="2:12" x14ac:dyDescent="0.5">
      <c r="B194" s="149"/>
      <c r="E194" s="247"/>
      <c r="F194" s="247"/>
      <c r="G194" s="247"/>
      <c r="H194" s="247"/>
      <c r="I194" s="247"/>
      <c r="J194" s="247"/>
      <c r="K194" s="247"/>
      <c r="L194" s="247"/>
    </row>
    <row r="195" spans="2:12" x14ac:dyDescent="0.5">
      <c r="B195" s="149"/>
      <c r="E195" s="247"/>
      <c r="F195" s="247"/>
      <c r="G195" s="247"/>
      <c r="H195" s="247"/>
      <c r="I195" s="247"/>
      <c r="J195" s="247"/>
      <c r="K195" s="247"/>
      <c r="L195" s="247"/>
    </row>
    <row r="196" spans="2:12" x14ac:dyDescent="0.5">
      <c r="B196" s="149"/>
      <c r="E196" s="247"/>
      <c r="F196" s="247"/>
      <c r="G196" s="247"/>
      <c r="H196" s="247"/>
      <c r="I196" s="247"/>
      <c r="J196" s="247"/>
      <c r="K196" s="247"/>
      <c r="L196" s="247"/>
    </row>
    <row r="197" spans="2:12" x14ac:dyDescent="0.5">
      <c r="B197" s="149"/>
      <c r="E197" s="247"/>
      <c r="F197" s="247"/>
      <c r="G197" s="247"/>
      <c r="H197" s="247"/>
      <c r="I197" s="247"/>
      <c r="J197" s="247"/>
      <c r="K197" s="247"/>
      <c r="L197" s="247"/>
    </row>
    <row r="198" spans="2:12" x14ac:dyDescent="0.5">
      <c r="B198" s="149"/>
      <c r="E198" s="247"/>
      <c r="F198" s="247"/>
      <c r="G198" s="247"/>
      <c r="H198" s="247"/>
      <c r="I198" s="247"/>
      <c r="J198" s="247"/>
      <c r="K198" s="247"/>
      <c r="L198" s="247"/>
    </row>
    <row r="199" spans="2:12" x14ac:dyDescent="0.5">
      <c r="B199" s="149"/>
      <c r="E199" s="247"/>
      <c r="F199" s="247"/>
      <c r="G199" s="247"/>
      <c r="H199" s="247"/>
      <c r="I199" s="247"/>
      <c r="J199" s="247"/>
      <c r="K199" s="247"/>
      <c r="L199" s="247"/>
    </row>
    <row r="200" spans="2:12" x14ac:dyDescent="0.5">
      <c r="B200" s="149"/>
      <c r="E200" s="247"/>
      <c r="F200" s="247"/>
      <c r="G200" s="247"/>
      <c r="H200" s="247"/>
      <c r="I200" s="247"/>
      <c r="J200" s="247"/>
      <c r="K200" s="247"/>
      <c r="L200" s="247"/>
    </row>
    <row r="201" spans="2:12" x14ac:dyDescent="0.5">
      <c r="B201" s="149"/>
      <c r="E201" s="247"/>
      <c r="F201" s="247"/>
      <c r="G201" s="247"/>
      <c r="H201" s="247"/>
      <c r="I201" s="247"/>
      <c r="J201" s="247"/>
      <c r="K201" s="247"/>
      <c r="L201" s="247"/>
    </row>
    <row r="202" spans="2:12" x14ac:dyDescent="0.5">
      <c r="B202" s="149"/>
      <c r="E202" s="247"/>
      <c r="F202" s="247"/>
      <c r="G202" s="247"/>
      <c r="H202" s="247"/>
      <c r="I202" s="247"/>
      <c r="J202" s="247"/>
      <c r="K202" s="247"/>
      <c r="L202" s="247"/>
    </row>
    <row r="203" spans="2:12" x14ac:dyDescent="0.5">
      <c r="B203" s="149"/>
      <c r="E203" s="247"/>
      <c r="F203" s="247"/>
      <c r="G203" s="247"/>
      <c r="H203" s="247"/>
      <c r="I203" s="247"/>
      <c r="J203" s="247"/>
      <c r="K203" s="247"/>
      <c r="L203" s="247"/>
    </row>
    <row r="204" spans="2:12" x14ac:dyDescent="0.5">
      <c r="B204" s="149"/>
      <c r="E204" s="247"/>
      <c r="F204" s="247"/>
      <c r="G204" s="247"/>
      <c r="H204" s="247"/>
      <c r="I204" s="247"/>
      <c r="J204" s="247"/>
      <c r="K204" s="247"/>
      <c r="L204" s="247"/>
    </row>
    <row r="205" spans="2:12" x14ac:dyDescent="0.5">
      <c r="B205" s="149"/>
      <c r="E205" s="247"/>
      <c r="F205" s="247"/>
      <c r="G205" s="247"/>
      <c r="H205" s="247"/>
      <c r="I205" s="247"/>
      <c r="J205" s="247"/>
      <c r="K205" s="247"/>
      <c r="L205" s="247"/>
    </row>
    <row r="206" spans="2:12" x14ac:dyDescent="0.5">
      <c r="B206" s="149"/>
      <c r="E206" s="247"/>
      <c r="F206" s="247"/>
      <c r="G206" s="247"/>
      <c r="H206" s="247"/>
      <c r="I206" s="247"/>
      <c r="J206" s="247"/>
      <c r="K206" s="247"/>
      <c r="L206" s="247"/>
    </row>
    <row r="207" spans="2:12" x14ac:dyDescent="0.5">
      <c r="B207" s="149"/>
      <c r="E207" s="247"/>
      <c r="F207" s="247"/>
      <c r="G207" s="247"/>
      <c r="H207" s="247"/>
      <c r="I207" s="247"/>
      <c r="J207" s="247"/>
      <c r="K207" s="247"/>
      <c r="L207" s="247"/>
    </row>
    <row r="208" spans="2:12" x14ac:dyDescent="0.5">
      <c r="B208" s="149"/>
      <c r="E208" s="247"/>
      <c r="F208" s="247"/>
      <c r="G208" s="247"/>
      <c r="H208" s="247"/>
      <c r="I208" s="247"/>
      <c r="J208" s="247"/>
      <c r="K208" s="247"/>
      <c r="L208" s="247"/>
    </row>
    <row r="209" spans="2:12" x14ac:dyDescent="0.5">
      <c r="B209" s="149"/>
      <c r="E209" s="247"/>
      <c r="F209" s="247"/>
      <c r="G209" s="247"/>
      <c r="H209" s="247"/>
      <c r="I209" s="247"/>
      <c r="J209" s="247"/>
      <c r="K209" s="247"/>
      <c r="L209" s="247"/>
    </row>
    <row r="210" spans="2:12" x14ac:dyDescent="0.5">
      <c r="B210" s="149"/>
      <c r="E210" s="247"/>
      <c r="F210" s="247"/>
      <c r="G210" s="247"/>
      <c r="H210" s="247"/>
      <c r="I210" s="247"/>
      <c r="J210" s="247"/>
      <c r="K210" s="247"/>
      <c r="L210" s="247"/>
    </row>
    <row r="211" spans="2:12" x14ac:dyDescent="0.5">
      <c r="B211" s="149"/>
      <c r="E211" s="247"/>
      <c r="F211" s="247"/>
      <c r="G211" s="247"/>
      <c r="H211" s="247"/>
      <c r="I211" s="247"/>
      <c r="J211" s="247"/>
      <c r="K211" s="247"/>
      <c r="L211" s="247"/>
    </row>
    <row r="212" spans="2:12" x14ac:dyDescent="0.5">
      <c r="B212" s="149"/>
      <c r="E212" s="247"/>
      <c r="F212" s="247"/>
      <c r="G212" s="247"/>
      <c r="H212" s="247"/>
      <c r="I212" s="247"/>
      <c r="J212" s="247"/>
      <c r="K212" s="247"/>
      <c r="L212" s="247"/>
    </row>
    <row r="213" spans="2:12" x14ac:dyDescent="0.5">
      <c r="B213" s="149"/>
      <c r="E213" s="247"/>
      <c r="F213" s="247"/>
      <c r="G213" s="247"/>
      <c r="H213" s="247"/>
      <c r="I213" s="247"/>
      <c r="J213" s="247"/>
      <c r="K213" s="247"/>
      <c r="L213" s="247"/>
    </row>
    <row r="214" spans="2:12" x14ac:dyDescent="0.5">
      <c r="B214" s="149"/>
      <c r="E214" s="247"/>
      <c r="F214" s="247"/>
      <c r="G214" s="247"/>
      <c r="H214" s="247"/>
      <c r="I214" s="247"/>
      <c r="J214" s="247"/>
      <c r="K214" s="247"/>
      <c r="L214" s="247"/>
    </row>
    <row r="215" spans="2:12" x14ac:dyDescent="0.5">
      <c r="B215" s="149"/>
      <c r="E215" s="247"/>
      <c r="F215" s="247"/>
      <c r="G215" s="247"/>
      <c r="H215" s="247"/>
      <c r="I215" s="247"/>
      <c r="J215" s="247"/>
      <c r="K215" s="247"/>
      <c r="L215" s="247"/>
    </row>
    <row r="216" spans="2:12" x14ac:dyDescent="0.5">
      <c r="B216" s="149"/>
      <c r="E216" s="247"/>
      <c r="F216" s="247"/>
      <c r="G216" s="247"/>
      <c r="H216" s="247"/>
      <c r="I216" s="247"/>
      <c r="J216" s="247"/>
      <c r="K216" s="247"/>
      <c r="L216" s="247"/>
    </row>
    <row r="217" spans="2:12" x14ac:dyDescent="0.5">
      <c r="B217" s="149"/>
      <c r="E217" s="247"/>
      <c r="F217" s="247"/>
      <c r="G217" s="247"/>
      <c r="H217" s="247"/>
      <c r="I217" s="247"/>
      <c r="J217" s="247"/>
      <c r="K217" s="247"/>
      <c r="L217" s="247"/>
    </row>
    <row r="218" spans="2:12" x14ac:dyDescent="0.5">
      <c r="B218" s="149"/>
      <c r="E218" s="247"/>
      <c r="F218" s="247"/>
      <c r="G218" s="247"/>
      <c r="H218" s="247"/>
      <c r="I218" s="247"/>
      <c r="J218" s="247"/>
      <c r="K218" s="247"/>
      <c r="L218" s="247"/>
    </row>
    <row r="219" spans="2:12" x14ac:dyDescent="0.5">
      <c r="B219" s="149"/>
      <c r="E219" s="247"/>
      <c r="F219" s="247"/>
      <c r="G219" s="247"/>
      <c r="H219" s="247"/>
      <c r="I219" s="247"/>
      <c r="J219" s="247"/>
      <c r="K219" s="247"/>
      <c r="L219" s="247"/>
    </row>
    <row r="220" spans="2:12" x14ac:dyDescent="0.5">
      <c r="B220" s="149"/>
      <c r="E220" s="247"/>
      <c r="F220" s="247"/>
      <c r="G220" s="247"/>
      <c r="H220" s="247"/>
      <c r="I220" s="247"/>
      <c r="J220" s="247"/>
      <c r="K220" s="247"/>
      <c r="L220" s="247"/>
    </row>
    <row r="221" spans="2:12" x14ac:dyDescent="0.5">
      <c r="B221" s="149"/>
      <c r="E221" s="247"/>
      <c r="F221" s="247"/>
      <c r="G221" s="247"/>
      <c r="H221" s="247"/>
      <c r="I221" s="247"/>
      <c r="J221" s="247"/>
      <c r="K221" s="247"/>
      <c r="L221" s="247"/>
    </row>
    <row r="222" spans="2:12" x14ac:dyDescent="0.5">
      <c r="B222" s="149"/>
      <c r="E222" s="247"/>
      <c r="F222" s="247"/>
      <c r="G222" s="247"/>
      <c r="H222" s="247"/>
      <c r="I222" s="247"/>
      <c r="J222" s="247"/>
      <c r="K222" s="247"/>
      <c r="L222" s="247"/>
    </row>
    <row r="223" spans="2:12" x14ac:dyDescent="0.5">
      <c r="B223" s="149"/>
      <c r="E223" s="247"/>
      <c r="F223" s="247"/>
      <c r="G223" s="247"/>
      <c r="H223" s="247"/>
      <c r="I223" s="247"/>
      <c r="J223" s="247"/>
      <c r="K223" s="247"/>
      <c r="L223" s="247"/>
    </row>
    <row r="224" spans="2:12" x14ac:dyDescent="0.5">
      <c r="B224" s="149"/>
      <c r="E224" s="247"/>
      <c r="F224" s="247"/>
      <c r="G224" s="247"/>
      <c r="H224" s="247"/>
      <c r="I224" s="247"/>
      <c r="J224" s="247"/>
      <c r="K224" s="247"/>
      <c r="L224" s="247"/>
    </row>
    <row r="225" spans="2:12" x14ac:dyDescent="0.5">
      <c r="B225" s="149"/>
      <c r="E225" s="247"/>
      <c r="F225" s="247"/>
      <c r="G225" s="247"/>
      <c r="H225" s="247"/>
      <c r="I225" s="247"/>
      <c r="J225" s="247"/>
      <c r="K225" s="247"/>
      <c r="L225" s="247"/>
    </row>
    <row r="226" spans="2:12" x14ac:dyDescent="0.5">
      <c r="B226" s="149"/>
      <c r="E226" s="247"/>
      <c r="F226" s="247"/>
      <c r="G226" s="247"/>
      <c r="H226" s="247"/>
      <c r="I226" s="247"/>
      <c r="J226" s="247"/>
      <c r="K226" s="247"/>
      <c r="L226" s="247"/>
    </row>
    <row r="227" spans="2:12" x14ac:dyDescent="0.5">
      <c r="B227" s="149"/>
      <c r="E227" s="247"/>
      <c r="F227" s="247"/>
      <c r="G227" s="247"/>
      <c r="H227" s="247"/>
      <c r="I227" s="247"/>
      <c r="J227" s="247"/>
      <c r="K227" s="247"/>
      <c r="L227" s="247"/>
    </row>
    <row r="228" spans="2:12" x14ac:dyDescent="0.5">
      <c r="B228" s="149"/>
      <c r="E228" s="247"/>
      <c r="F228" s="247"/>
      <c r="G228" s="247"/>
      <c r="H228" s="247"/>
      <c r="I228" s="247"/>
      <c r="J228" s="247"/>
      <c r="K228" s="247"/>
      <c r="L228" s="247"/>
    </row>
    <row r="229" spans="2:12" x14ac:dyDescent="0.5">
      <c r="B229" s="149"/>
      <c r="E229" s="247"/>
      <c r="F229" s="247"/>
      <c r="G229" s="247"/>
      <c r="H229" s="247"/>
      <c r="I229" s="247"/>
      <c r="J229" s="247"/>
      <c r="K229" s="247"/>
      <c r="L229" s="247"/>
    </row>
    <row r="230" spans="2:12" x14ac:dyDescent="0.5">
      <c r="B230" s="149"/>
      <c r="E230" s="247"/>
      <c r="F230" s="247"/>
      <c r="G230" s="247"/>
      <c r="H230" s="247"/>
      <c r="I230" s="247"/>
      <c r="J230" s="247"/>
      <c r="K230" s="247"/>
      <c r="L230" s="247"/>
    </row>
    <row r="231" spans="2:12" x14ac:dyDescent="0.5">
      <c r="B231" s="149"/>
      <c r="E231" s="247"/>
      <c r="F231" s="247"/>
      <c r="G231" s="247"/>
      <c r="H231" s="247"/>
      <c r="I231" s="247"/>
      <c r="J231" s="247"/>
      <c r="K231" s="247"/>
      <c r="L231" s="247"/>
    </row>
    <row r="232" spans="2:12" x14ac:dyDescent="0.5">
      <c r="B232" s="149"/>
      <c r="E232" s="247"/>
      <c r="F232" s="247"/>
      <c r="G232" s="247"/>
      <c r="H232" s="247"/>
      <c r="I232" s="247"/>
      <c r="J232" s="247"/>
      <c r="K232" s="247"/>
      <c r="L232" s="247"/>
    </row>
    <row r="233" spans="2:12" x14ac:dyDescent="0.5">
      <c r="B233" s="149"/>
      <c r="E233" s="247"/>
      <c r="F233" s="247"/>
      <c r="G233" s="247"/>
      <c r="H233" s="247"/>
      <c r="I233" s="247"/>
      <c r="J233" s="247"/>
      <c r="K233" s="247"/>
      <c r="L233" s="247"/>
    </row>
    <row r="234" spans="2:12" x14ac:dyDescent="0.5">
      <c r="B234" s="149"/>
      <c r="E234" s="247"/>
      <c r="F234" s="247"/>
      <c r="G234" s="247"/>
      <c r="H234" s="247"/>
      <c r="I234" s="247"/>
      <c r="J234" s="247"/>
      <c r="K234" s="247"/>
      <c r="L234" s="247"/>
    </row>
    <row r="235" spans="2:12" x14ac:dyDescent="0.5">
      <c r="B235" s="149"/>
      <c r="E235" s="247"/>
      <c r="F235" s="247"/>
      <c r="G235" s="247"/>
      <c r="H235" s="247"/>
      <c r="I235" s="247"/>
      <c r="J235" s="247"/>
      <c r="K235" s="247"/>
      <c r="L235" s="247"/>
    </row>
    <row r="236" spans="2:12" x14ac:dyDescent="0.5">
      <c r="B236" s="149"/>
      <c r="E236" s="247"/>
      <c r="F236" s="247"/>
      <c r="G236" s="247"/>
      <c r="H236" s="247"/>
      <c r="I236" s="247"/>
      <c r="J236" s="247"/>
      <c r="K236" s="247"/>
      <c r="L236" s="247"/>
    </row>
    <row r="237" spans="2:12" x14ac:dyDescent="0.5">
      <c r="B237" s="149"/>
      <c r="E237" s="247"/>
      <c r="F237" s="247"/>
      <c r="G237" s="247"/>
      <c r="H237" s="247"/>
      <c r="I237" s="247"/>
      <c r="J237" s="247"/>
      <c r="K237" s="247"/>
      <c r="L237" s="247"/>
    </row>
    <row r="238" spans="2:12" x14ac:dyDescent="0.5">
      <c r="B238" s="149"/>
      <c r="E238" s="247"/>
      <c r="F238" s="247"/>
      <c r="G238" s="247"/>
      <c r="H238" s="247"/>
      <c r="I238" s="247"/>
      <c r="J238" s="247"/>
      <c r="K238" s="247"/>
      <c r="L238" s="247"/>
    </row>
    <row r="239" spans="2:12" x14ac:dyDescent="0.5">
      <c r="B239" s="149"/>
      <c r="E239" s="247"/>
      <c r="F239" s="247"/>
      <c r="G239" s="247"/>
      <c r="H239" s="247"/>
      <c r="I239" s="247"/>
      <c r="J239" s="247"/>
      <c r="K239" s="247"/>
      <c r="L239" s="247"/>
    </row>
    <row r="240" spans="2:12" x14ac:dyDescent="0.5">
      <c r="B240" s="149"/>
      <c r="E240" s="247"/>
      <c r="F240" s="247"/>
      <c r="G240" s="247"/>
      <c r="H240" s="247"/>
      <c r="I240" s="247"/>
      <c r="J240" s="247"/>
      <c r="K240" s="247"/>
      <c r="L240" s="247"/>
    </row>
    <row r="241" spans="2:12" x14ac:dyDescent="0.5">
      <c r="B241" s="149"/>
      <c r="E241" s="247"/>
      <c r="F241" s="247"/>
      <c r="G241" s="247"/>
      <c r="H241" s="247"/>
      <c r="I241" s="247"/>
      <c r="J241" s="247"/>
      <c r="K241" s="247"/>
      <c r="L241" s="247"/>
    </row>
    <row r="242" spans="2:12" x14ac:dyDescent="0.5">
      <c r="B242" s="149"/>
      <c r="E242" s="247"/>
      <c r="F242" s="247"/>
      <c r="G242" s="247"/>
      <c r="H242" s="247"/>
      <c r="I242" s="247"/>
      <c r="J242" s="247"/>
      <c r="K242" s="247"/>
      <c r="L242" s="247"/>
    </row>
    <row r="243" spans="2:12" x14ac:dyDescent="0.5">
      <c r="B243" s="149"/>
      <c r="E243" s="247"/>
      <c r="F243" s="247"/>
      <c r="G243" s="247"/>
      <c r="H243" s="247"/>
      <c r="I243" s="247"/>
      <c r="J243" s="247"/>
      <c r="K243" s="247"/>
      <c r="L243" s="247"/>
    </row>
    <row r="244" spans="2:12" x14ac:dyDescent="0.5">
      <c r="B244" s="149"/>
      <c r="E244" s="247"/>
      <c r="F244" s="247"/>
      <c r="G244" s="247"/>
      <c r="H244" s="247"/>
      <c r="I244" s="247"/>
      <c r="J244" s="247"/>
      <c r="K244" s="247"/>
      <c r="L244" s="247"/>
    </row>
    <row r="245" spans="2:12" x14ac:dyDescent="0.5">
      <c r="B245" s="149"/>
      <c r="E245" s="247"/>
      <c r="F245" s="247"/>
      <c r="G245" s="247"/>
      <c r="H245" s="247"/>
      <c r="I245" s="247"/>
      <c r="J245" s="247"/>
      <c r="K245" s="247"/>
      <c r="L245" s="247"/>
    </row>
    <row r="246" spans="2:12" x14ac:dyDescent="0.5">
      <c r="B246" s="149"/>
      <c r="E246" s="247"/>
      <c r="F246" s="247"/>
      <c r="G246" s="247"/>
      <c r="H246" s="247"/>
      <c r="I246" s="247"/>
      <c r="J246" s="247"/>
      <c r="K246" s="247"/>
      <c r="L246" s="247"/>
    </row>
    <row r="247" spans="2:12" x14ac:dyDescent="0.5">
      <c r="B247" s="149"/>
      <c r="E247" s="247"/>
      <c r="F247" s="247"/>
      <c r="G247" s="247"/>
      <c r="H247" s="247"/>
      <c r="I247" s="247"/>
      <c r="J247" s="247"/>
      <c r="K247" s="247"/>
      <c r="L247" s="247"/>
    </row>
    <row r="248" spans="2:12" x14ac:dyDescent="0.5">
      <c r="B248" s="149"/>
      <c r="E248" s="247"/>
      <c r="F248" s="247"/>
      <c r="G248" s="247"/>
      <c r="H248" s="247"/>
      <c r="I248" s="247"/>
      <c r="J248" s="247"/>
      <c r="K248" s="247"/>
      <c r="L248" s="247"/>
    </row>
    <row r="249" spans="2:12" x14ac:dyDescent="0.5">
      <c r="B249" s="149"/>
      <c r="E249" s="247"/>
      <c r="F249" s="247"/>
      <c r="G249" s="247"/>
      <c r="H249" s="247"/>
      <c r="I249" s="247"/>
      <c r="J249" s="247"/>
      <c r="K249" s="247"/>
      <c r="L249" s="247"/>
    </row>
    <row r="250" spans="2:12" x14ac:dyDescent="0.5">
      <c r="B250" s="149"/>
      <c r="E250" s="247"/>
      <c r="F250" s="247"/>
      <c r="G250" s="247"/>
      <c r="H250" s="247"/>
      <c r="I250" s="247"/>
      <c r="J250" s="247"/>
      <c r="K250" s="247"/>
      <c r="L250" s="247"/>
    </row>
    <row r="251" spans="2:12" x14ac:dyDescent="0.5">
      <c r="B251" s="149"/>
      <c r="E251" s="247"/>
      <c r="F251" s="247"/>
      <c r="G251" s="247"/>
      <c r="H251" s="247"/>
      <c r="I251" s="247"/>
      <c r="J251" s="247"/>
      <c r="K251" s="247"/>
      <c r="L251" s="247"/>
    </row>
    <row r="252" spans="2:12" x14ac:dyDescent="0.5">
      <c r="B252" s="149"/>
      <c r="E252" s="247"/>
      <c r="F252" s="247"/>
      <c r="G252" s="247"/>
      <c r="H252" s="247"/>
      <c r="I252" s="247"/>
      <c r="J252" s="247"/>
      <c r="K252" s="247"/>
      <c r="L252" s="247"/>
    </row>
    <row r="253" spans="2:12" x14ac:dyDescent="0.5">
      <c r="B253" s="149"/>
      <c r="E253" s="247"/>
      <c r="F253" s="247"/>
      <c r="G253" s="247"/>
      <c r="H253" s="247"/>
      <c r="I253" s="247"/>
      <c r="J253" s="247"/>
      <c r="K253" s="247"/>
      <c r="L253" s="247"/>
    </row>
    <row r="254" spans="2:12" x14ac:dyDescent="0.5">
      <c r="B254" s="149"/>
      <c r="E254" s="247"/>
      <c r="F254" s="247"/>
      <c r="G254" s="247"/>
      <c r="H254" s="247"/>
      <c r="I254" s="247"/>
      <c r="J254" s="247"/>
      <c r="K254" s="247"/>
      <c r="L254" s="247"/>
    </row>
    <row r="255" spans="2:12" x14ac:dyDescent="0.5">
      <c r="B255" s="149"/>
      <c r="E255" s="247"/>
      <c r="F255" s="247"/>
      <c r="G255" s="247"/>
      <c r="H255" s="247"/>
      <c r="I255" s="247"/>
      <c r="J255" s="247"/>
      <c r="K255" s="247"/>
      <c r="L255" s="247"/>
    </row>
    <row r="256" spans="2:12" x14ac:dyDescent="0.5">
      <c r="B256" s="149"/>
      <c r="E256" s="247"/>
      <c r="F256" s="247"/>
      <c r="G256" s="247"/>
      <c r="H256" s="247"/>
      <c r="I256" s="247"/>
      <c r="J256" s="247"/>
      <c r="K256" s="247"/>
      <c r="L256" s="247"/>
    </row>
    <row r="257" spans="2:12" x14ac:dyDescent="0.5">
      <c r="B257" s="149"/>
      <c r="E257" s="247"/>
      <c r="F257" s="247"/>
      <c r="G257" s="247"/>
      <c r="H257" s="247"/>
      <c r="I257" s="247"/>
      <c r="J257" s="247"/>
      <c r="K257" s="247"/>
      <c r="L257" s="247"/>
    </row>
    <row r="258" spans="2:12" x14ac:dyDescent="0.5">
      <c r="B258" s="149"/>
      <c r="E258" s="247"/>
      <c r="F258" s="247"/>
      <c r="G258" s="247"/>
      <c r="H258" s="247"/>
      <c r="I258" s="247"/>
      <c r="J258" s="247"/>
      <c r="K258" s="247"/>
      <c r="L258" s="247"/>
    </row>
    <row r="259" spans="2:12" x14ac:dyDescent="0.5">
      <c r="B259" s="149"/>
      <c r="E259" s="247"/>
      <c r="F259" s="247"/>
      <c r="G259" s="247"/>
      <c r="H259" s="247"/>
      <c r="I259" s="247"/>
      <c r="J259" s="247"/>
      <c r="K259" s="247"/>
      <c r="L259" s="247"/>
    </row>
    <row r="260" spans="2:12" x14ac:dyDescent="0.5">
      <c r="B260" s="149"/>
      <c r="E260" s="247"/>
      <c r="F260" s="247"/>
      <c r="G260" s="247"/>
      <c r="H260" s="247"/>
      <c r="I260" s="247"/>
      <c r="J260" s="247"/>
      <c r="K260" s="247"/>
      <c r="L260" s="247"/>
    </row>
    <row r="261" spans="2:12" x14ac:dyDescent="0.5">
      <c r="B261" s="149"/>
      <c r="E261" s="247"/>
      <c r="F261" s="247"/>
      <c r="G261" s="247"/>
      <c r="H261" s="247"/>
      <c r="I261" s="247"/>
      <c r="J261" s="247"/>
      <c r="K261" s="247"/>
      <c r="L261" s="247"/>
    </row>
    <row r="262" spans="2:12" x14ac:dyDescent="0.5">
      <c r="B262" s="149"/>
      <c r="E262" s="247"/>
      <c r="F262" s="247"/>
      <c r="G262" s="247"/>
      <c r="H262" s="247"/>
      <c r="I262" s="247"/>
      <c r="J262" s="247"/>
      <c r="K262" s="247"/>
      <c r="L262" s="247"/>
    </row>
    <row r="263" spans="2:12" x14ac:dyDescent="0.5">
      <c r="B263" s="149"/>
      <c r="E263" s="247"/>
      <c r="F263" s="247"/>
      <c r="G263" s="247"/>
      <c r="H263" s="247"/>
      <c r="I263" s="247"/>
      <c r="J263" s="247"/>
      <c r="K263" s="247"/>
      <c r="L263" s="247"/>
    </row>
    <row r="264" spans="2:12" x14ac:dyDescent="0.5">
      <c r="B264" s="149"/>
      <c r="E264" s="247"/>
      <c r="F264" s="247"/>
      <c r="G264" s="247"/>
      <c r="H264" s="247"/>
      <c r="I264" s="247"/>
      <c r="J264" s="247"/>
      <c r="K264" s="247"/>
      <c r="L264" s="247"/>
    </row>
    <row r="265" spans="2:12" x14ac:dyDescent="0.5">
      <c r="B265" s="149"/>
      <c r="E265" s="247"/>
      <c r="F265" s="247"/>
      <c r="G265" s="247"/>
      <c r="H265" s="247"/>
      <c r="I265" s="247"/>
      <c r="J265" s="247"/>
      <c r="K265" s="247"/>
      <c r="L265" s="247"/>
    </row>
    <row r="266" spans="2:12" x14ac:dyDescent="0.5">
      <c r="B266" s="149"/>
      <c r="E266" s="247"/>
      <c r="F266" s="247"/>
      <c r="G266" s="247"/>
      <c r="H266" s="247"/>
      <c r="I266" s="247"/>
      <c r="J266" s="247"/>
      <c r="K266" s="247"/>
      <c r="L266" s="247"/>
    </row>
    <row r="267" spans="2:12" x14ac:dyDescent="0.5">
      <c r="B267" s="149"/>
      <c r="E267" s="247"/>
      <c r="F267" s="247"/>
      <c r="G267" s="247"/>
      <c r="H267" s="247"/>
      <c r="I267" s="247"/>
      <c r="J267" s="247"/>
      <c r="K267" s="247"/>
      <c r="L267" s="247"/>
    </row>
    <row r="268" spans="2:12" x14ac:dyDescent="0.5">
      <c r="B268" s="149"/>
      <c r="E268" s="247"/>
      <c r="F268" s="247"/>
      <c r="G268" s="247"/>
      <c r="H268" s="247"/>
      <c r="I268" s="247"/>
      <c r="J268" s="247"/>
      <c r="K268" s="247"/>
      <c r="L268" s="247"/>
    </row>
    <row r="269" spans="2:12" x14ac:dyDescent="0.5">
      <c r="B269" s="149"/>
      <c r="E269" s="247"/>
      <c r="F269" s="247"/>
      <c r="G269" s="247"/>
      <c r="H269" s="247"/>
      <c r="I269" s="247"/>
      <c r="J269" s="247"/>
      <c r="K269" s="247"/>
      <c r="L269" s="247"/>
    </row>
    <row r="270" spans="2:12" x14ac:dyDescent="0.5">
      <c r="B270" s="149"/>
      <c r="E270" s="247"/>
      <c r="F270" s="247"/>
      <c r="G270" s="247"/>
      <c r="H270" s="247"/>
      <c r="I270" s="247"/>
      <c r="J270" s="247"/>
      <c r="K270" s="247"/>
      <c r="L270" s="247"/>
    </row>
    <row r="271" spans="2:12" x14ac:dyDescent="0.5">
      <c r="B271" s="149"/>
      <c r="E271" s="247"/>
      <c r="F271" s="247"/>
      <c r="G271" s="247"/>
      <c r="H271" s="247"/>
      <c r="I271" s="247"/>
      <c r="J271" s="247"/>
      <c r="K271" s="247"/>
      <c r="L271" s="247"/>
    </row>
    <row r="272" spans="2:12" x14ac:dyDescent="0.5">
      <c r="B272" s="149"/>
      <c r="E272" s="247"/>
      <c r="F272" s="247"/>
      <c r="G272" s="247"/>
      <c r="H272" s="247"/>
      <c r="I272" s="247"/>
      <c r="J272" s="247"/>
      <c r="K272" s="247"/>
      <c r="L272" s="247"/>
    </row>
    <row r="273" spans="2:12" x14ac:dyDescent="0.5">
      <c r="B273" s="149"/>
      <c r="E273" s="247"/>
      <c r="F273" s="247"/>
      <c r="G273" s="247"/>
      <c r="H273" s="247"/>
      <c r="I273" s="247"/>
      <c r="J273" s="247"/>
      <c r="K273" s="247"/>
      <c r="L273" s="247"/>
    </row>
    <row r="274" spans="2:12" x14ac:dyDescent="0.5">
      <c r="B274" s="149"/>
      <c r="E274" s="247"/>
      <c r="F274" s="247"/>
      <c r="G274" s="247"/>
      <c r="H274" s="247"/>
      <c r="I274" s="247"/>
      <c r="J274" s="247"/>
      <c r="K274" s="247"/>
      <c r="L274" s="247"/>
    </row>
    <row r="275" spans="2:12" x14ac:dyDescent="0.5">
      <c r="B275" s="149"/>
      <c r="E275" s="247"/>
      <c r="F275" s="247"/>
      <c r="G275" s="247"/>
      <c r="H275" s="247"/>
      <c r="I275" s="247"/>
      <c r="J275" s="247"/>
      <c r="K275" s="247"/>
      <c r="L275" s="247"/>
    </row>
    <row r="276" spans="2:12" x14ac:dyDescent="0.5">
      <c r="B276" s="149"/>
      <c r="E276" s="247"/>
      <c r="F276" s="247"/>
      <c r="G276" s="247"/>
      <c r="H276" s="247"/>
      <c r="I276" s="247"/>
      <c r="J276" s="247"/>
      <c r="K276" s="247"/>
      <c r="L276" s="247"/>
    </row>
    <row r="277" spans="2:12" x14ac:dyDescent="0.5">
      <c r="B277" s="149"/>
      <c r="E277" s="247"/>
      <c r="F277" s="247"/>
      <c r="G277" s="247"/>
      <c r="H277" s="247"/>
      <c r="I277" s="247"/>
      <c r="J277" s="247"/>
      <c r="K277" s="247"/>
      <c r="L277" s="247"/>
    </row>
    <row r="278" spans="2:12" x14ac:dyDescent="0.5">
      <c r="B278" s="149"/>
      <c r="E278" s="247"/>
      <c r="F278" s="247"/>
      <c r="G278" s="247"/>
      <c r="H278" s="247"/>
      <c r="I278" s="247"/>
      <c r="J278" s="247"/>
      <c r="K278" s="247"/>
      <c r="L278" s="247"/>
    </row>
    <row r="279" spans="2:12" x14ac:dyDescent="0.5">
      <c r="B279" s="149"/>
      <c r="E279" s="247"/>
      <c r="F279" s="247"/>
      <c r="G279" s="247"/>
      <c r="H279" s="247"/>
      <c r="I279" s="247"/>
      <c r="J279" s="247"/>
      <c r="K279" s="247"/>
      <c r="L279" s="247"/>
    </row>
    <row r="280" spans="2:12" x14ac:dyDescent="0.5">
      <c r="B280" s="149"/>
      <c r="E280" s="247"/>
      <c r="F280" s="247"/>
      <c r="G280" s="247"/>
      <c r="H280" s="247"/>
      <c r="I280" s="247"/>
      <c r="J280" s="247"/>
      <c r="K280" s="247"/>
      <c r="L280" s="247"/>
    </row>
    <row r="281" spans="2:12" x14ac:dyDescent="0.5">
      <c r="B281" s="149"/>
      <c r="E281" s="247"/>
      <c r="F281" s="247"/>
      <c r="G281" s="247"/>
      <c r="H281" s="247"/>
      <c r="I281" s="247"/>
      <c r="J281" s="247"/>
      <c r="K281" s="247"/>
      <c r="L281" s="247"/>
    </row>
    <row r="282" spans="2:12" x14ac:dyDescent="0.5">
      <c r="B282" s="149"/>
      <c r="E282" s="247"/>
      <c r="F282" s="247"/>
      <c r="G282" s="247"/>
      <c r="H282" s="247"/>
      <c r="I282" s="247"/>
      <c r="J282" s="247"/>
      <c r="K282" s="247"/>
      <c r="L282" s="247"/>
    </row>
    <row r="283" spans="2:12" x14ac:dyDescent="0.5">
      <c r="B283" s="149"/>
      <c r="E283" s="247"/>
      <c r="F283" s="247"/>
      <c r="G283" s="247"/>
      <c r="H283" s="247"/>
      <c r="I283" s="247"/>
      <c r="J283" s="247"/>
      <c r="K283" s="247"/>
      <c r="L283" s="247"/>
    </row>
    <row r="284" spans="2:12" x14ac:dyDescent="0.5">
      <c r="B284" s="149"/>
      <c r="E284" s="247"/>
      <c r="F284" s="247"/>
      <c r="G284" s="247"/>
      <c r="H284" s="247"/>
      <c r="I284" s="247"/>
      <c r="J284" s="247"/>
      <c r="K284" s="247"/>
      <c r="L284" s="247"/>
    </row>
    <row r="285" spans="2:12" x14ac:dyDescent="0.5">
      <c r="B285" s="149"/>
      <c r="E285" s="247"/>
      <c r="F285" s="247"/>
      <c r="G285" s="247"/>
      <c r="H285" s="247"/>
      <c r="I285" s="247"/>
      <c r="J285" s="247"/>
      <c r="K285" s="247"/>
      <c r="L285" s="247"/>
    </row>
    <row r="286" spans="2:12" x14ac:dyDescent="0.5">
      <c r="B286" s="149"/>
      <c r="E286" s="247"/>
      <c r="F286" s="247"/>
      <c r="G286" s="247"/>
      <c r="H286" s="247"/>
      <c r="I286" s="247"/>
      <c r="J286" s="247"/>
      <c r="K286" s="247"/>
      <c r="L286" s="247"/>
    </row>
    <row r="287" spans="2:12" x14ac:dyDescent="0.5">
      <c r="B287" s="149"/>
      <c r="E287" s="247"/>
      <c r="F287" s="247"/>
      <c r="G287" s="247"/>
      <c r="H287" s="247"/>
      <c r="I287" s="247"/>
      <c r="J287" s="247"/>
      <c r="K287" s="247"/>
      <c r="L287" s="247"/>
    </row>
    <row r="288" spans="2:12" x14ac:dyDescent="0.5">
      <c r="B288" s="149"/>
      <c r="E288" s="247"/>
      <c r="F288" s="247"/>
      <c r="G288" s="247"/>
      <c r="H288" s="247"/>
      <c r="I288" s="247"/>
      <c r="J288" s="247"/>
      <c r="K288" s="247"/>
      <c r="L288" s="247"/>
    </row>
    <row r="289" spans="2:12" x14ac:dyDescent="0.5">
      <c r="B289" s="149"/>
      <c r="E289" s="247"/>
      <c r="F289" s="247"/>
      <c r="G289" s="247"/>
      <c r="H289" s="247"/>
      <c r="I289" s="247"/>
      <c r="J289" s="247"/>
      <c r="K289" s="247"/>
      <c r="L289" s="247"/>
    </row>
    <row r="290" spans="2:12" x14ac:dyDescent="0.5">
      <c r="B290" s="149"/>
      <c r="E290" s="247"/>
      <c r="F290" s="247"/>
      <c r="G290" s="247"/>
      <c r="H290" s="247"/>
      <c r="I290" s="247"/>
      <c r="J290" s="247"/>
      <c r="K290" s="247"/>
      <c r="L290" s="247"/>
    </row>
    <row r="291" spans="2:12" x14ac:dyDescent="0.5">
      <c r="B291" s="149"/>
      <c r="E291" s="247"/>
      <c r="F291" s="247"/>
      <c r="G291" s="247"/>
      <c r="H291" s="247"/>
      <c r="I291" s="247"/>
      <c r="J291" s="247"/>
      <c r="K291" s="247"/>
      <c r="L291" s="247"/>
    </row>
    <row r="292" spans="2:12" x14ac:dyDescent="0.5">
      <c r="B292" s="149"/>
      <c r="E292" s="247"/>
      <c r="F292" s="247"/>
      <c r="G292" s="247"/>
      <c r="H292" s="247"/>
      <c r="I292" s="247"/>
      <c r="J292" s="247"/>
      <c r="K292" s="247"/>
      <c r="L292" s="247"/>
    </row>
    <row r="293" spans="2:12" x14ac:dyDescent="0.5">
      <c r="B293" s="149"/>
      <c r="E293" s="247"/>
      <c r="F293" s="247"/>
      <c r="G293" s="247"/>
      <c r="H293" s="247"/>
      <c r="I293" s="247"/>
      <c r="J293" s="247"/>
      <c r="K293" s="247"/>
      <c r="L293" s="247"/>
    </row>
    <row r="294" spans="2:12" x14ac:dyDescent="0.5">
      <c r="B294" s="149"/>
      <c r="E294" s="247"/>
      <c r="F294" s="247"/>
      <c r="G294" s="247"/>
      <c r="H294" s="247"/>
      <c r="I294" s="247"/>
      <c r="J294" s="247"/>
      <c r="K294" s="247"/>
      <c r="L294" s="247"/>
    </row>
    <row r="295" spans="2:12" x14ac:dyDescent="0.5">
      <c r="B295" s="149"/>
      <c r="E295" s="247"/>
      <c r="F295" s="247"/>
      <c r="G295" s="247"/>
      <c r="H295" s="247"/>
      <c r="I295" s="247"/>
      <c r="J295" s="247"/>
      <c r="K295" s="247"/>
      <c r="L295" s="247"/>
    </row>
    <row r="296" spans="2:12" x14ac:dyDescent="0.5">
      <c r="B296" s="149"/>
      <c r="E296" s="247"/>
      <c r="F296" s="247"/>
      <c r="G296" s="247"/>
      <c r="H296" s="247"/>
      <c r="I296" s="247"/>
      <c r="J296" s="247"/>
      <c r="K296" s="247"/>
      <c r="L296" s="247"/>
    </row>
    <row r="297" spans="2:12" x14ac:dyDescent="0.5">
      <c r="B297" s="149"/>
      <c r="E297" s="247"/>
      <c r="F297" s="247"/>
      <c r="G297" s="247"/>
      <c r="H297" s="247"/>
      <c r="I297" s="247"/>
      <c r="J297" s="247"/>
      <c r="K297" s="247"/>
      <c r="L297" s="247"/>
    </row>
    <row r="298" spans="2:12" x14ac:dyDescent="0.5">
      <c r="B298" s="149"/>
      <c r="E298" s="247"/>
      <c r="F298" s="247"/>
      <c r="G298" s="247"/>
      <c r="H298" s="247"/>
      <c r="I298" s="247"/>
      <c r="J298" s="247"/>
      <c r="K298" s="247"/>
      <c r="L298" s="247"/>
    </row>
    <row r="299" spans="2:12" x14ac:dyDescent="0.5">
      <c r="B299" s="149"/>
      <c r="E299" s="247"/>
      <c r="F299" s="247"/>
      <c r="G299" s="247"/>
      <c r="H299" s="247"/>
      <c r="I299" s="247"/>
      <c r="J299" s="247"/>
      <c r="K299" s="247"/>
      <c r="L299" s="247"/>
    </row>
    <row r="300" spans="2:12" x14ac:dyDescent="0.5">
      <c r="B300" s="149"/>
      <c r="E300" s="247"/>
      <c r="F300" s="247"/>
      <c r="G300" s="247"/>
      <c r="H300" s="247"/>
      <c r="I300" s="247"/>
      <c r="J300" s="247"/>
      <c r="K300" s="247"/>
      <c r="L300" s="247"/>
    </row>
    <row r="301" spans="2:12" x14ac:dyDescent="0.5">
      <c r="B301" s="149"/>
      <c r="E301" s="247"/>
      <c r="F301" s="247"/>
      <c r="G301" s="247"/>
      <c r="H301" s="247"/>
      <c r="I301" s="247"/>
      <c r="J301" s="247"/>
      <c r="K301" s="247"/>
      <c r="L301" s="247"/>
    </row>
    <row r="302" spans="2:12" x14ac:dyDescent="0.5">
      <c r="B302" s="149"/>
      <c r="E302" s="247"/>
      <c r="F302" s="247"/>
      <c r="G302" s="247"/>
      <c r="H302" s="247"/>
      <c r="I302" s="247"/>
      <c r="J302" s="247"/>
      <c r="K302" s="247"/>
      <c r="L302" s="247"/>
    </row>
    <row r="303" spans="2:12" x14ac:dyDescent="0.5">
      <c r="B303" s="149"/>
      <c r="E303" s="247"/>
      <c r="F303" s="247"/>
      <c r="G303" s="247"/>
      <c r="H303" s="247"/>
      <c r="I303" s="247"/>
      <c r="J303" s="247"/>
      <c r="K303" s="247"/>
      <c r="L303" s="247"/>
    </row>
    <row r="304" spans="2:12" x14ac:dyDescent="0.5">
      <c r="B304" s="149"/>
      <c r="E304" s="247"/>
      <c r="F304" s="247"/>
      <c r="G304" s="247"/>
      <c r="H304" s="247"/>
      <c r="I304" s="247"/>
      <c r="J304" s="247"/>
      <c r="K304" s="247"/>
      <c r="L304" s="247"/>
    </row>
  </sheetData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C2BD-2A09-4E6D-AEFA-15989980DA7A}">
  <dimension ref="D4:P90"/>
  <sheetViews>
    <sheetView topLeftCell="B1" zoomScale="107" zoomScaleNormal="100" workbookViewId="0">
      <selection activeCell="O14" sqref="O14"/>
    </sheetView>
  </sheetViews>
  <sheetFormatPr defaultRowHeight="14.25" x14ac:dyDescent="0.45"/>
  <cols>
    <col min="5" max="5" width="10.6640625" bestFit="1" customWidth="1"/>
    <col min="6" max="6" width="11.46484375" bestFit="1" customWidth="1"/>
    <col min="8" max="8" width="12.9296875" customWidth="1"/>
    <col min="9" max="9" width="19.59765625" customWidth="1"/>
    <col min="10" max="10" width="19.73046875" customWidth="1"/>
    <col min="11" max="11" width="13.33203125" customWidth="1"/>
  </cols>
  <sheetData>
    <row r="4" spans="5:15" x14ac:dyDescent="0.45">
      <c r="E4" t="s">
        <v>239</v>
      </c>
      <c r="O4" t="s">
        <v>280</v>
      </c>
    </row>
    <row r="5" spans="5:15" x14ac:dyDescent="0.45">
      <c r="E5">
        <v>6380</v>
      </c>
      <c r="H5">
        <v>6380</v>
      </c>
      <c r="I5">
        <v>6380</v>
      </c>
      <c r="M5">
        <v>2050</v>
      </c>
      <c r="O5">
        <v>450</v>
      </c>
    </row>
    <row r="6" spans="5:15" x14ac:dyDescent="0.45">
      <c r="E6" t="s">
        <v>234</v>
      </c>
      <c r="H6" t="s">
        <v>235</v>
      </c>
      <c r="M6">
        <v>2190</v>
      </c>
      <c r="O6">
        <v>200</v>
      </c>
    </row>
    <row r="7" spans="5:15" x14ac:dyDescent="0.45">
      <c r="E7">
        <v>12481</v>
      </c>
      <c r="H7" t="s">
        <v>96</v>
      </c>
      <c r="I7" t="s">
        <v>236</v>
      </c>
      <c r="J7" t="s">
        <v>0</v>
      </c>
      <c r="M7">
        <v>2957</v>
      </c>
      <c r="O7">
        <v>2120</v>
      </c>
    </row>
    <row r="8" spans="5:15" x14ac:dyDescent="0.45">
      <c r="E8">
        <v>13129</v>
      </c>
      <c r="H8">
        <v>15434</v>
      </c>
      <c r="I8">
        <v>13299</v>
      </c>
      <c r="M8">
        <v>2050</v>
      </c>
      <c r="O8">
        <v>1155</v>
      </c>
    </row>
    <row r="9" spans="5:15" x14ac:dyDescent="0.45">
      <c r="E9">
        <v>13044</v>
      </c>
      <c r="H9">
        <v>15113</v>
      </c>
      <c r="I9">
        <v>10793</v>
      </c>
      <c r="M9">
        <v>2100</v>
      </c>
      <c r="O9">
        <v>739</v>
      </c>
    </row>
    <row r="10" spans="5:15" x14ac:dyDescent="0.45">
      <c r="E10">
        <v>13791</v>
      </c>
      <c r="H10">
        <v>15837</v>
      </c>
      <c r="I10">
        <v>11888</v>
      </c>
      <c r="M10">
        <v>2100</v>
      </c>
      <c r="O10">
        <v>5405</v>
      </c>
    </row>
    <row r="11" spans="5:15" x14ac:dyDescent="0.45">
      <c r="E11">
        <v>14276</v>
      </c>
      <c r="H11">
        <v>15603</v>
      </c>
      <c r="I11">
        <v>12408</v>
      </c>
      <c r="M11">
        <v>2125</v>
      </c>
      <c r="O11" s="293">
        <v>2007</v>
      </c>
    </row>
    <row r="12" spans="5:15" x14ac:dyDescent="0.45">
      <c r="E12">
        <v>11876</v>
      </c>
      <c r="H12">
        <v>15850</v>
      </c>
      <c r="I12">
        <v>11133</v>
      </c>
      <c r="M12" s="293">
        <v>3500</v>
      </c>
      <c r="O12">
        <f>SUM(O5:O11)</f>
        <v>12076</v>
      </c>
    </row>
    <row r="13" spans="5:15" x14ac:dyDescent="0.45">
      <c r="E13" s="293">
        <v>13189</v>
      </c>
      <c r="H13" s="293">
        <v>15855</v>
      </c>
      <c r="I13">
        <v>11889</v>
      </c>
      <c r="M13">
        <f>SUM(M5:M12)</f>
        <v>19072</v>
      </c>
      <c r="O13">
        <f>O12/7</f>
        <v>1725.1428571428571</v>
      </c>
    </row>
    <row r="14" spans="5:15" x14ac:dyDescent="0.45">
      <c r="E14">
        <f>SUM(E7:E13)</f>
        <v>91786</v>
      </c>
      <c r="H14">
        <f>SUM(H8:H13)</f>
        <v>93692</v>
      </c>
      <c r="I14" s="293">
        <v>12863</v>
      </c>
      <c r="O14">
        <f>O13*12</f>
        <v>20701.714285714286</v>
      </c>
    </row>
    <row r="15" spans="5:15" x14ac:dyDescent="0.45">
      <c r="I15">
        <f>SUM(I8:I14)</f>
        <v>84273</v>
      </c>
    </row>
    <row r="16" spans="5:15" x14ac:dyDescent="0.45">
      <c r="E16" s="178">
        <f>E14/7</f>
        <v>13112.285714285714</v>
      </c>
      <c r="F16" s="178"/>
      <c r="G16" s="178"/>
      <c r="H16" s="178">
        <f>H14/6</f>
        <v>15615.333333333334</v>
      </c>
      <c r="I16" s="178">
        <f>I15/7</f>
        <v>12039</v>
      </c>
      <c r="J16" s="178">
        <f>(+E16+H16+I16)*12</f>
        <v>489199.42857142852</v>
      </c>
      <c r="M16">
        <f>M13/8</f>
        <v>2384</v>
      </c>
    </row>
    <row r="17" spans="4:16" x14ac:dyDescent="0.45">
      <c r="E17" s="7">
        <f>E16*12</f>
        <v>157347.42857142858</v>
      </c>
      <c r="H17" s="178">
        <f>H16*12</f>
        <v>187384</v>
      </c>
      <c r="I17" s="178">
        <f>I16*12</f>
        <v>144468</v>
      </c>
    </row>
    <row r="18" spans="4:16" x14ac:dyDescent="0.45">
      <c r="D18" t="s">
        <v>60</v>
      </c>
      <c r="E18">
        <v>15000</v>
      </c>
      <c r="H18">
        <v>18000</v>
      </c>
      <c r="I18">
        <v>14000</v>
      </c>
    </row>
    <row r="19" spans="4:16" x14ac:dyDescent="0.45">
      <c r="O19" t="s">
        <v>281</v>
      </c>
      <c r="P19" t="s">
        <v>0</v>
      </c>
    </row>
    <row r="20" spans="4:16" x14ac:dyDescent="0.45">
      <c r="E20" t="s">
        <v>237</v>
      </c>
      <c r="H20" t="s">
        <v>238</v>
      </c>
      <c r="O20" t="s">
        <v>282</v>
      </c>
    </row>
    <row r="21" spans="4:16" ht="14.65" thickBot="1" x14ac:dyDescent="0.5">
      <c r="E21">
        <v>10678</v>
      </c>
      <c r="H21">
        <v>14300</v>
      </c>
      <c r="J21" t="s">
        <v>60</v>
      </c>
      <c r="K21" s="343">
        <f>'2021 Budget (2)'!J20</f>
        <v>68760</v>
      </c>
      <c r="O21">
        <v>726.19</v>
      </c>
    </row>
    <row r="22" spans="4:16" ht="14.65" thickTop="1" x14ac:dyDescent="0.45">
      <c r="E22">
        <v>8544</v>
      </c>
      <c r="H22">
        <v>13600</v>
      </c>
      <c r="O22" s="344">
        <v>1712.2</v>
      </c>
    </row>
    <row r="23" spans="4:16" x14ac:dyDescent="0.45">
      <c r="E23">
        <v>7444</v>
      </c>
      <c r="H23">
        <v>13600</v>
      </c>
      <c r="O23">
        <f>SUM(O21:O22)</f>
        <v>2438.3900000000003</v>
      </c>
    </row>
    <row r="24" spans="4:16" x14ac:dyDescent="0.45">
      <c r="E24">
        <v>5270</v>
      </c>
      <c r="H24">
        <v>14350</v>
      </c>
      <c r="J24" t="s">
        <v>277</v>
      </c>
      <c r="K24">
        <f>2860*4</f>
        <v>11440</v>
      </c>
    </row>
    <row r="25" spans="4:16" x14ac:dyDescent="0.45">
      <c r="E25">
        <v>6723</v>
      </c>
      <c r="H25">
        <v>15050</v>
      </c>
      <c r="K25">
        <v>15700</v>
      </c>
      <c r="O25">
        <f>12*O23</f>
        <v>29260.680000000004</v>
      </c>
    </row>
    <row r="26" spans="4:16" x14ac:dyDescent="0.45">
      <c r="E26" s="293">
        <v>3953</v>
      </c>
      <c r="H26">
        <v>6700</v>
      </c>
      <c r="K26">
        <v>18700</v>
      </c>
    </row>
    <row r="27" spans="4:16" x14ac:dyDescent="0.45">
      <c r="E27">
        <f>SUM(E21:E26)</f>
        <v>42612</v>
      </c>
      <c r="H27" s="293">
        <v>3100</v>
      </c>
      <c r="K27">
        <v>14400</v>
      </c>
    </row>
    <row r="28" spans="4:16" x14ac:dyDescent="0.45">
      <c r="H28">
        <f>SUM(H21:H27)</f>
        <v>80700</v>
      </c>
      <c r="K28" s="293">
        <v>8520</v>
      </c>
      <c r="O28">
        <v>10046</v>
      </c>
      <c r="P28" t="s">
        <v>281</v>
      </c>
    </row>
    <row r="29" spans="4:16" x14ac:dyDescent="0.45">
      <c r="E29">
        <f>E27/6</f>
        <v>7102</v>
      </c>
      <c r="K29">
        <f>SUM(K24:K28)</f>
        <v>68760</v>
      </c>
      <c r="O29">
        <v>20475</v>
      </c>
    </row>
    <row r="30" spans="4:16" x14ac:dyDescent="0.45">
      <c r="E30">
        <f>E29*12</f>
        <v>85224</v>
      </c>
      <c r="H30" s="178">
        <f>H28/7</f>
        <v>11528.571428571429</v>
      </c>
      <c r="O30">
        <f>SUM(O28:O29)</f>
        <v>30521</v>
      </c>
    </row>
    <row r="32" spans="4:16" x14ac:dyDescent="0.45">
      <c r="E32">
        <v>8500</v>
      </c>
      <c r="H32" s="7">
        <f>H30*12</f>
        <v>138342.85714285716</v>
      </c>
    </row>
    <row r="35" spans="5:12" x14ac:dyDescent="0.45">
      <c r="E35" t="s">
        <v>283</v>
      </c>
      <c r="H35" t="s">
        <v>318</v>
      </c>
      <c r="K35" t="s">
        <v>287</v>
      </c>
    </row>
    <row r="36" spans="5:12" x14ac:dyDescent="0.45">
      <c r="E36" t="s">
        <v>284</v>
      </c>
      <c r="F36" s="7">
        <v>141.56</v>
      </c>
      <c r="G36" t="s">
        <v>64</v>
      </c>
      <c r="H36" t="s">
        <v>285</v>
      </c>
      <c r="K36">
        <v>120</v>
      </c>
    </row>
    <row r="37" spans="5:12" x14ac:dyDescent="0.45">
      <c r="F37" s="7">
        <v>212</v>
      </c>
      <c r="G37" t="s">
        <v>45</v>
      </c>
      <c r="H37">
        <v>331.7</v>
      </c>
      <c r="K37">
        <v>100</v>
      </c>
    </row>
    <row r="38" spans="5:12" x14ac:dyDescent="0.45">
      <c r="F38" s="286">
        <v>92.56</v>
      </c>
      <c r="G38">
        <v>5307</v>
      </c>
      <c r="H38">
        <f>H37*12</f>
        <v>3980.3999999999996</v>
      </c>
      <c r="K38">
        <v>0</v>
      </c>
    </row>
    <row r="39" spans="5:12" x14ac:dyDescent="0.45">
      <c r="F39" s="7">
        <f>SUM(F36:F38)</f>
        <v>446.12</v>
      </c>
      <c r="H39">
        <v>5352</v>
      </c>
      <c r="K39" s="293">
        <v>150</v>
      </c>
    </row>
    <row r="40" spans="5:12" x14ac:dyDescent="0.45">
      <c r="F40" s="7"/>
      <c r="H40">
        <f>SUM(H38:H39)</f>
        <v>9332.4</v>
      </c>
      <c r="K40">
        <f>SUM(K36:K39)</f>
        <v>370</v>
      </c>
    </row>
    <row r="41" spans="5:12" x14ac:dyDescent="0.45">
      <c r="F41" s="7">
        <f>446*12</f>
        <v>5352</v>
      </c>
      <c r="K41">
        <v>2700</v>
      </c>
      <c r="L41" t="s">
        <v>288</v>
      </c>
    </row>
    <row r="42" spans="5:12" x14ac:dyDescent="0.45">
      <c r="F42" s="7" t="s">
        <v>0</v>
      </c>
      <c r="K42">
        <v>5000</v>
      </c>
      <c r="L42" t="s">
        <v>289</v>
      </c>
    </row>
    <row r="43" spans="5:12" x14ac:dyDescent="0.45">
      <c r="F43">
        <f>450/8</f>
        <v>56.25</v>
      </c>
      <c r="K43" s="293">
        <v>400</v>
      </c>
      <c r="L43" t="s">
        <v>290</v>
      </c>
    </row>
    <row r="44" spans="5:12" x14ac:dyDescent="0.45">
      <c r="F44">
        <f>F43*12</f>
        <v>675</v>
      </c>
      <c r="G44">
        <f>9*675</f>
        <v>6075</v>
      </c>
      <c r="K44">
        <f>SUM(K40:K43)</f>
        <v>8470</v>
      </c>
    </row>
    <row r="48" spans="5:12" x14ac:dyDescent="0.45">
      <c r="F48" t="s">
        <v>301</v>
      </c>
      <c r="H48" t="s">
        <v>0</v>
      </c>
      <c r="K48" t="s">
        <v>291</v>
      </c>
    </row>
    <row r="49" spans="6:12" x14ac:dyDescent="0.45">
      <c r="F49">
        <v>14629</v>
      </c>
      <c r="H49">
        <f>1370*12</f>
        <v>16440</v>
      </c>
      <c r="K49">
        <v>14.99</v>
      </c>
      <c r="L49" t="s">
        <v>292</v>
      </c>
    </row>
    <row r="50" spans="6:12" x14ac:dyDescent="0.45">
      <c r="F50">
        <v>14711</v>
      </c>
      <c r="K50">
        <v>18.170000000000002</v>
      </c>
      <c r="L50" t="s">
        <v>293</v>
      </c>
    </row>
    <row r="51" spans="6:12" x14ac:dyDescent="0.45">
      <c r="L51" t="s">
        <v>294</v>
      </c>
    </row>
    <row r="52" spans="6:12" x14ac:dyDescent="0.45">
      <c r="K52">
        <v>32.090000000000003</v>
      </c>
      <c r="L52" t="s">
        <v>295</v>
      </c>
    </row>
    <row r="53" spans="6:12" x14ac:dyDescent="0.45">
      <c r="K53">
        <v>29.99</v>
      </c>
      <c r="L53" t="s">
        <v>296</v>
      </c>
    </row>
    <row r="54" spans="6:12" x14ac:dyDescent="0.45">
      <c r="K54">
        <v>59.99</v>
      </c>
      <c r="L54" t="s">
        <v>297</v>
      </c>
    </row>
    <row r="55" spans="6:12" x14ac:dyDescent="0.45">
      <c r="K55" s="293">
        <v>13.96</v>
      </c>
      <c r="L55" t="s">
        <v>298</v>
      </c>
    </row>
    <row r="56" spans="6:12" x14ac:dyDescent="0.45">
      <c r="K56">
        <f>SUM(K49:K55)</f>
        <v>169.19</v>
      </c>
    </row>
    <row r="57" spans="6:12" x14ac:dyDescent="0.45">
      <c r="K57">
        <f>K56*12</f>
        <v>2030.28</v>
      </c>
    </row>
    <row r="60" spans="6:12" x14ac:dyDescent="0.45">
      <c r="F60" t="s">
        <v>302</v>
      </c>
      <c r="I60" t="s">
        <v>187</v>
      </c>
      <c r="K60">
        <v>336</v>
      </c>
      <c r="L60" t="s">
        <v>299</v>
      </c>
    </row>
    <row r="61" spans="6:12" x14ac:dyDescent="0.45">
      <c r="F61" s="345">
        <v>3519</v>
      </c>
      <c r="I61">
        <v>10678</v>
      </c>
      <c r="J61" t="s">
        <v>0</v>
      </c>
    </row>
    <row r="62" spans="6:12" x14ac:dyDescent="0.45">
      <c r="F62" s="345">
        <v>3519</v>
      </c>
      <c r="I62">
        <v>8544</v>
      </c>
      <c r="K62">
        <v>1196</v>
      </c>
    </row>
    <row r="63" spans="6:12" x14ac:dyDescent="0.45">
      <c r="F63" s="293">
        <v>500</v>
      </c>
      <c r="I63">
        <v>7444</v>
      </c>
      <c r="K63">
        <v>666.85</v>
      </c>
    </row>
    <row r="64" spans="6:12" x14ac:dyDescent="0.45">
      <c r="F64" s="345">
        <f>SUM(F61:F63)</f>
        <v>7538</v>
      </c>
      <c r="I64">
        <v>5270</v>
      </c>
      <c r="K64" s="293">
        <v>29.99</v>
      </c>
    </row>
    <row r="65" spans="6:11" x14ac:dyDescent="0.45">
      <c r="F65">
        <f>F64*12</f>
        <v>90456</v>
      </c>
      <c r="I65">
        <v>6723</v>
      </c>
      <c r="K65">
        <f>SUM(K62:K64)</f>
        <v>1892.84</v>
      </c>
    </row>
    <row r="66" spans="6:11" x14ac:dyDescent="0.45">
      <c r="I66" s="293">
        <v>3953</v>
      </c>
    </row>
    <row r="67" spans="6:11" x14ac:dyDescent="0.45">
      <c r="I67">
        <f>SUM(I61:I66)</f>
        <v>42612</v>
      </c>
      <c r="K67">
        <f>+K57+K60+K65</f>
        <v>4259.12</v>
      </c>
    </row>
    <row r="68" spans="6:11" x14ac:dyDescent="0.45">
      <c r="I68">
        <f>I67/6</f>
        <v>7102</v>
      </c>
    </row>
    <row r="69" spans="6:11" x14ac:dyDescent="0.45">
      <c r="I69">
        <f>I68*12</f>
        <v>85224</v>
      </c>
    </row>
    <row r="70" spans="6:11" x14ac:dyDescent="0.45">
      <c r="I70" t="s">
        <v>303</v>
      </c>
    </row>
    <row r="71" spans="6:11" x14ac:dyDescent="0.45">
      <c r="I71">
        <f>I69/2</f>
        <v>42612</v>
      </c>
    </row>
    <row r="75" spans="6:11" x14ac:dyDescent="0.45">
      <c r="F75" s="452">
        <v>5307</v>
      </c>
      <c r="K75" t="s">
        <v>317</v>
      </c>
    </row>
    <row r="76" spans="6:11" x14ac:dyDescent="0.45">
      <c r="F76" s="295">
        <v>49475.5</v>
      </c>
      <c r="I76" s="7">
        <v>532695</v>
      </c>
    </row>
    <row r="77" spans="6:11" x14ac:dyDescent="0.45">
      <c r="F77" s="295">
        <v>13313</v>
      </c>
      <c r="I77" s="7">
        <v>-48549</v>
      </c>
    </row>
    <row r="78" spans="6:11" x14ac:dyDescent="0.45">
      <c r="F78" s="295">
        <v>39023</v>
      </c>
      <c r="I78" s="286">
        <f>-F90</f>
        <v>-49475.5</v>
      </c>
    </row>
    <row r="79" spans="6:11" x14ac:dyDescent="0.45">
      <c r="F79" s="295">
        <v>7994</v>
      </c>
      <c r="I79" s="7">
        <f>SUM(I76:I78)</f>
        <v>434670.5</v>
      </c>
    </row>
    <row r="80" spans="6:11" x14ac:dyDescent="0.45">
      <c r="F80" s="453">
        <v>-11781</v>
      </c>
      <c r="I80" s="7"/>
    </row>
    <row r="81" spans="6:9" x14ac:dyDescent="0.45">
      <c r="F81" s="295">
        <f>SUM(F76:F80)</f>
        <v>98024.5</v>
      </c>
      <c r="I81" s="7"/>
    </row>
    <row r="82" spans="6:9" x14ac:dyDescent="0.45">
      <c r="F82" s="286">
        <f>-F90</f>
        <v>-49475.5</v>
      </c>
      <c r="I82" s="7"/>
    </row>
    <row r="83" spans="6:9" x14ac:dyDescent="0.45">
      <c r="F83" s="295">
        <f>SUM(F81:F82)</f>
        <v>48549</v>
      </c>
      <c r="I83" s="7"/>
    </row>
    <row r="86" spans="6:9" x14ac:dyDescent="0.45">
      <c r="F86" t="s">
        <v>60</v>
      </c>
    </row>
    <row r="87" spans="6:9" x14ac:dyDescent="0.45">
      <c r="F87" s="7">
        <v>29062</v>
      </c>
    </row>
    <row r="88" spans="6:9" x14ac:dyDescent="0.45">
      <c r="F88" s="286">
        <v>20413.5</v>
      </c>
    </row>
    <row r="89" spans="6:9" x14ac:dyDescent="0.45">
      <c r="F89" s="7"/>
    </row>
    <row r="90" spans="6:9" x14ac:dyDescent="0.45">
      <c r="F90" s="7">
        <f>SUM(F87:F89)</f>
        <v>49475.5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DED9D-E95D-44BD-8472-C360A35C0484}">
  <dimension ref="A1:U48"/>
  <sheetViews>
    <sheetView topLeftCell="A4" workbookViewId="0">
      <selection sqref="A1:XFD1048576"/>
    </sheetView>
  </sheetViews>
  <sheetFormatPr defaultRowHeight="14.25" x14ac:dyDescent="0.45"/>
  <cols>
    <col min="1" max="1" width="18.3984375" customWidth="1"/>
    <col min="2" max="2" width="6" customWidth="1"/>
    <col min="3" max="3" width="24.73046875" customWidth="1"/>
    <col min="4" max="4" width="14.1328125" customWidth="1"/>
    <col min="5" max="6" width="12.73046875" bestFit="1" customWidth="1"/>
    <col min="7" max="7" width="13.59765625" bestFit="1" customWidth="1"/>
    <col min="8" max="8" width="12.73046875" bestFit="1" customWidth="1"/>
    <col min="9" max="9" width="13" customWidth="1"/>
    <col min="10" max="10" width="27.59765625" customWidth="1"/>
    <col min="11" max="15" width="15.73046875" customWidth="1"/>
    <col min="16" max="16" width="11.1328125" customWidth="1"/>
    <col min="17" max="17" width="24.265625" customWidth="1"/>
    <col min="18" max="18" width="3.73046875" customWidth="1"/>
    <col min="19" max="19" width="20.265625" customWidth="1"/>
    <col min="20" max="21" width="18.3984375" customWidth="1"/>
    <col min="258" max="258" width="18.3984375" customWidth="1"/>
    <col min="259" max="259" width="32.265625" customWidth="1"/>
    <col min="260" max="260" width="14.1328125" customWidth="1"/>
    <col min="261" max="263" width="12.3984375" bestFit="1" customWidth="1"/>
    <col min="264" max="264" width="10.73046875" customWidth="1"/>
    <col min="265" max="265" width="8.3984375" customWidth="1"/>
    <col min="266" max="266" width="27.59765625" customWidth="1"/>
    <col min="267" max="270" width="15.73046875" customWidth="1"/>
    <col min="271" max="271" width="12.1328125" customWidth="1"/>
    <col min="272" max="272" width="11.1328125" customWidth="1"/>
    <col min="273" max="273" width="24.265625" customWidth="1"/>
    <col min="274" max="277" width="18.3984375" customWidth="1"/>
    <col min="514" max="514" width="18.3984375" customWidth="1"/>
    <col min="515" max="515" width="32.265625" customWidth="1"/>
    <col min="516" max="516" width="14.1328125" customWidth="1"/>
    <col min="517" max="519" width="12.3984375" bestFit="1" customWidth="1"/>
    <col min="520" max="520" width="10.73046875" customWidth="1"/>
    <col min="521" max="521" width="8.3984375" customWidth="1"/>
    <col min="522" max="522" width="27.59765625" customWidth="1"/>
    <col min="523" max="526" width="15.73046875" customWidth="1"/>
    <col min="527" max="527" width="12.1328125" customWidth="1"/>
    <col min="528" max="528" width="11.1328125" customWidth="1"/>
    <col min="529" max="529" width="24.265625" customWidth="1"/>
    <col min="530" max="533" width="18.3984375" customWidth="1"/>
    <col min="770" max="770" width="18.3984375" customWidth="1"/>
    <col min="771" max="771" width="32.265625" customWidth="1"/>
    <col min="772" max="772" width="14.1328125" customWidth="1"/>
    <col min="773" max="775" width="12.3984375" bestFit="1" customWidth="1"/>
    <col min="776" max="776" width="10.73046875" customWidth="1"/>
    <col min="777" max="777" width="8.3984375" customWidth="1"/>
    <col min="778" max="778" width="27.59765625" customWidth="1"/>
    <col min="779" max="782" width="15.73046875" customWidth="1"/>
    <col min="783" max="783" width="12.1328125" customWidth="1"/>
    <col min="784" max="784" width="11.1328125" customWidth="1"/>
    <col min="785" max="785" width="24.265625" customWidth="1"/>
    <col min="786" max="789" width="18.3984375" customWidth="1"/>
    <col min="1026" max="1026" width="18.3984375" customWidth="1"/>
    <col min="1027" max="1027" width="32.265625" customWidth="1"/>
    <col min="1028" max="1028" width="14.1328125" customWidth="1"/>
    <col min="1029" max="1031" width="12.3984375" bestFit="1" customWidth="1"/>
    <col min="1032" max="1032" width="10.73046875" customWidth="1"/>
    <col min="1033" max="1033" width="8.3984375" customWidth="1"/>
    <col min="1034" max="1034" width="27.59765625" customWidth="1"/>
    <col min="1035" max="1038" width="15.73046875" customWidth="1"/>
    <col min="1039" max="1039" width="12.1328125" customWidth="1"/>
    <col min="1040" max="1040" width="11.1328125" customWidth="1"/>
    <col min="1041" max="1041" width="24.265625" customWidth="1"/>
    <col min="1042" max="1045" width="18.3984375" customWidth="1"/>
    <col min="1282" max="1282" width="18.3984375" customWidth="1"/>
    <col min="1283" max="1283" width="32.265625" customWidth="1"/>
    <col min="1284" max="1284" width="14.1328125" customWidth="1"/>
    <col min="1285" max="1287" width="12.3984375" bestFit="1" customWidth="1"/>
    <col min="1288" max="1288" width="10.73046875" customWidth="1"/>
    <col min="1289" max="1289" width="8.3984375" customWidth="1"/>
    <col min="1290" max="1290" width="27.59765625" customWidth="1"/>
    <col min="1291" max="1294" width="15.73046875" customWidth="1"/>
    <col min="1295" max="1295" width="12.1328125" customWidth="1"/>
    <col min="1296" max="1296" width="11.1328125" customWidth="1"/>
    <col min="1297" max="1297" width="24.265625" customWidth="1"/>
    <col min="1298" max="1301" width="18.3984375" customWidth="1"/>
    <col min="1538" max="1538" width="18.3984375" customWidth="1"/>
    <col min="1539" max="1539" width="32.265625" customWidth="1"/>
    <col min="1540" max="1540" width="14.1328125" customWidth="1"/>
    <col min="1541" max="1543" width="12.3984375" bestFit="1" customWidth="1"/>
    <col min="1544" max="1544" width="10.73046875" customWidth="1"/>
    <col min="1545" max="1545" width="8.3984375" customWidth="1"/>
    <col min="1546" max="1546" width="27.59765625" customWidth="1"/>
    <col min="1547" max="1550" width="15.73046875" customWidth="1"/>
    <col min="1551" max="1551" width="12.1328125" customWidth="1"/>
    <col min="1552" max="1552" width="11.1328125" customWidth="1"/>
    <col min="1553" max="1553" width="24.265625" customWidth="1"/>
    <col min="1554" max="1557" width="18.3984375" customWidth="1"/>
    <col min="1794" max="1794" width="18.3984375" customWidth="1"/>
    <col min="1795" max="1795" width="32.265625" customWidth="1"/>
    <col min="1796" max="1796" width="14.1328125" customWidth="1"/>
    <col min="1797" max="1799" width="12.3984375" bestFit="1" customWidth="1"/>
    <col min="1800" max="1800" width="10.73046875" customWidth="1"/>
    <col min="1801" max="1801" width="8.3984375" customWidth="1"/>
    <col min="1802" max="1802" width="27.59765625" customWidth="1"/>
    <col min="1803" max="1806" width="15.73046875" customWidth="1"/>
    <col min="1807" max="1807" width="12.1328125" customWidth="1"/>
    <col min="1808" max="1808" width="11.1328125" customWidth="1"/>
    <col min="1809" max="1809" width="24.265625" customWidth="1"/>
    <col min="1810" max="1813" width="18.3984375" customWidth="1"/>
    <col min="2050" max="2050" width="18.3984375" customWidth="1"/>
    <col min="2051" max="2051" width="32.265625" customWidth="1"/>
    <col min="2052" max="2052" width="14.1328125" customWidth="1"/>
    <col min="2053" max="2055" width="12.3984375" bestFit="1" customWidth="1"/>
    <col min="2056" max="2056" width="10.73046875" customWidth="1"/>
    <col min="2057" max="2057" width="8.3984375" customWidth="1"/>
    <col min="2058" max="2058" width="27.59765625" customWidth="1"/>
    <col min="2059" max="2062" width="15.73046875" customWidth="1"/>
    <col min="2063" max="2063" width="12.1328125" customWidth="1"/>
    <col min="2064" max="2064" width="11.1328125" customWidth="1"/>
    <col min="2065" max="2065" width="24.265625" customWidth="1"/>
    <col min="2066" max="2069" width="18.3984375" customWidth="1"/>
    <col min="2306" max="2306" width="18.3984375" customWidth="1"/>
    <col min="2307" max="2307" width="32.265625" customWidth="1"/>
    <col min="2308" max="2308" width="14.1328125" customWidth="1"/>
    <col min="2309" max="2311" width="12.3984375" bestFit="1" customWidth="1"/>
    <col min="2312" max="2312" width="10.73046875" customWidth="1"/>
    <col min="2313" max="2313" width="8.3984375" customWidth="1"/>
    <col min="2314" max="2314" width="27.59765625" customWidth="1"/>
    <col min="2315" max="2318" width="15.73046875" customWidth="1"/>
    <col min="2319" max="2319" width="12.1328125" customWidth="1"/>
    <col min="2320" max="2320" width="11.1328125" customWidth="1"/>
    <col min="2321" max="2321" width="24.265625" customWidth="1"/>
    <col min="2322" max="2325" width="18.3984375" customWidth="1"/>
    <col min="2562" max="2562" width="18.3984375" customWidth="1"/>
    <col min="2563" max="2563" width="32.265625" customWidth="1"/>
    <col min="2564" max="2564" width="14.1328125" customWidth="1"/>
    <col min="2565" max="2567" width="12.3984375" bestFit="1" customWidth="1"/>
    <col min="2568" max="2568" width="10.73046875" customWidth="1"/>
    <col min="2569" max="2569" width="8.3984375" customWidth="1"/>
    <col min="2570" max="2570" width="27.59765625" customWidth="1"/>
    <col min="2571" max="2574" width="15.73046875" customWidth="1"/>
    <col min="2575" max="2575" width="12.1328125" customWidth="1"/>
    <col min="2576" max="2576" width="11.1328125" customWidth="1"/>
    <col min="2577" max="2577" width="24.265625" customWidth="1"/>
    <col min="2578" max="2581" width="18.3984375" customWidth="1"/>
    <col min="2818" max="2818" width="18.3984375" customWidth="1"/>
    <col min="2819" max="2819" width="32.265625" customWidth="1"/>
    <col min="2820" max="2820" width="14.1328125" customWidth="1"/>
    <col min="2821" max="2823" width="12.3984375" bestFit="1" customWidth="1"/>
    <col min="2824" max="2824" width="10.73046875" customWidth="1"/>
    <col min="2825" max="2825" width="8.3984375" customWidth="1"/>
    <col min="2826" max="2826" width="27.59765625" customWidth="1"/>
    <col min="2827" max="2830" width="15.73046875" customWidth="1"/>
    <col min="2831" max="2831" width="12.1328125" customWidth="1"/>
    <col min="2832" max="2832" width="11.1328125" customWidth="1"/>
    <col min="2833" max="2833" width="24.265625" customWidth="1"/>
    <col min="2834" max="2837" width="18.3984375" customWidth="1"/>
    <col min="3074" max="3074" width="18.3984375" customWidth="1"/>
    <col min="3075" max="3075" width="32.265625" customWidth="1"/>
    <col min="3076" max="3076" width="14.1328125" customWidth="1"/>
    <col min="3077" max="3079" width="12.3984375" bestFit="1" customWidth="1"/>
    <col min="3080" max="3080" width="10.73046875" customWidth="1"/>
    <col min="3081" max="3081" width="8.3984375" customWidth="1"/>
    <col min="3082" max="3082" width="27.59765625" customWidth="1"/>
    <col min="3083" max="3086" width="15.73046875" customWidth="1"/>
    <col min="3087" max="3087" width="12.1328125" customWidth="1"/>
    <col min="3088" max="3088" width="11.1328125" customWidth="1"/>
    <col min="3089" max="3089" width="24.265625" customWidth="1"/>
    <col min="3090" max="3093" width="18.3984375" customWidth="1"/>
    <col min="3330" max="3330" width="18.3984375" customWidth="1"/>
    <col min="3331" max="3331" width="32.265625" customWidth="1"/>
    <col min="3332" max="3332" width="14.1328125" customWidth="1"/>
    <col min="3333" max="3335" width="12.3984375" bestFit="1" customWidth="1"/>
    <col min="3336" max="3336" width="10.73046875" customWidth="1"/>
    <col min="3337" max="3337" width="8.3984375" customWidth="1"/>
    <col min="3338" max="3338" width="27.59765625" customWidth="1"/>
    <col min="3339" max="3342" width="15.73046875" customWidth="1"/>
    <col min="3343" max="3343" width="12.1328125" customWidth="1"/>
    <col min="3344" max="3344" width="11.1328125" customWidth="1"/>
    <col min="3345" max="3345" width="24.265625" customWidth="1"/>
    <col min="3346" max="3349" width="18.3984375" customWidth="1"/>
    <col min="3586" max="3586" width="18.3984375" customWidth="1"/>
    <col min="3587" max="3587" width="32.265625" customWidth="1"/>
    <col min="3588" max="3588" width="14.1328125" customWidth="1"/>
    <col min="3589" max="3591" width="12.3984375" bestFit="1" customWidth="1"/>
    <col min="3592" max="3592" width="10.73046875" customWidth="1"/>
    <col min="3593" max="3593" width="8.3984375" customWidth="1"/>
    <col min="3594" max="3594" width="27.59765625" customWidth="1"/>
    <col min="3595" max="3598" width="15.73046875" customWidth="1"/>
    <col min="3599" max="3599" width="12.1328125" customWidth="1"/>
    <col min="3600" max="3600" width="11.1328125" customWidth="1"/>
    <col min="3601" max="3601" width="24.265625" customWidth="1"/>
    <col min="3602" max="3605" width="18.3984375" customWidth="1"/>
    <col min="3842" max="3842" width="18.3984375" customWidth="1"/>
    <col min="3843" max="3843" width="32.265625" customWidth="1"/>
    <col min="3844" max="3844" width="14.1328125" customWidth="1"/>
    <col min="3845" max="3847" width="12.3984375" bestFit="1" customWidth="1"/>
    <col min="3848" max="3848" width="10.73046875" customWidth="1"/>
    <col min="3849" max="3849" width="8.3984375" customWidth="1"/>
    <col min="3850" max="3850" width="27.59765625" customWidth="1"/>
    <col min="3851" max="3854" width="15.73046875" customWidth="1"/>
    <col min="3855" max="3855" width="12.1328125" customWidth="1"/>
    <col min="3856" max="3856" width="11.1328125" customWidth="1"/>
    <col min="3857" max="3857" width="24.265625" customWidth="1"/>
    <col min="3858" max="3861" width="18.3984375" customWidth="1"/>
    <col min="4098" max="4098" width="18.3984375" customWidth="1"/>
    <col min="4099" max="4099" width="32.265625" customWidth="1"/>
    <col min="4100" max="4100" width="14.1328125" customWidth="1"/>
    <col min="4101" max="4103" width="12.3984375" bestFit="1" customWidth="1"/>
    <col min="4104" max="4104" width="10.73046875" customWidth="1"/>
    <col min="4105" max="4105" width="8.3984375" customWidth="1"/>
    <col min="4106" max="4106" width="27.59765625" customWidth="1"/>
    <col min="4107" max="4110" width="15.73046875" customWidth="1"/>
    <col min="4111" max="4111" width="12.1328125" customWidth="1"/>
    <col min="4112" max="4112" width="11.1328125" customWidth="1"/>
    <col min="4113" max="4113" width="24.265625" customWidth="1"/>
    <col min="4114" max="4117" width="18.3984375" customWidth="1"/>
    <col min="4354" max="4354" width="18.3984375" customWidth="1"/>
    <col min="4355" max="4355" width="32.265625" customWidth="1"/>
    <col min="4356" max="4356" width="14.1328125" customWidth="1"/>
    <col min="4357" max="4359" width="12.3984375" bestFit="1" customWidth="1"/>
    <col min="4360" max="4360" width="10.73046875" customWidth="1"/>
    <col min="4361" max="4361" width="8.3984375" customWidth="1"/>
    <col min="4362" max="4362" width="27.59765625" customWidth="1"/>
    <col min="4363" max="4366" width="15.73046875" customWidth="1"/>
    <col min="4367" max="4367" width="12.1328125" customWidth="1"/>
    <col min="4368" max="4368" width="11.1328125" customWidth="1"/>
    <col min="4369" max="4369" width="24.265625" customWidth="1"/>
    <col min="4370" max="4373" width="18.3984375" customWidth="1"/>
    <col min="4610" max="4610" width="18.3984375" customWidth="1"/>
    <col min="4611" max="4611" width="32.265625" customWidth="1"/>
    <col min="4612" max="4612" width="14.1328125" customWidth="1"/>
    <col min="4613" max="4615" width="12.3984375" bestFit="1" customWidth="1"/>
    <col min="4616" max="4616" width="10.73046875" customWidth="1"/>
    <col min="4617" max="4617" width="8.3984375" customWidth="1"/>
    <col min="4618" max="4618" width="27.59765625" customWidth="1"/>
    <col min="4619" max="4622" width="15.73046875" customWidth="1"/>
    <col min="4623" max="4623" width="12.1328125" customWidth="1"/>
    <col min="4624" max="4624" width="11.1328125" customWidth="1"/>
    <col min="4625" max="4625" width="24.265625" customWidth="1"/>
    <col min="4626" max="4629" width="18.3984375" customWidth="1"/>
    <col min="4866" max="4866" width="18.3984375" customWidth="1"/>
    <col min="4867" max="4867" width="32.265625" customWidth="1"/>
    <col min="4868" max="4868" width="14.1328125" customWidth="1"/>
    <col min="4869" max="4871" width="12.3984375" bestFit="1" customWidth="1"/>
    <col min="4872" max="4872" width="10.73046875" customWidth="1"/>
    <col min="4873" max="4873" width="8.3984375" customWidth="1"/>
    <col min="4874" max="4874" width="27.59765625" customWidth="1"/>
    <col min="4875" max="4878" width="15.73046875" customWidth="1"/>
    <col min="4879" max="4879" width="12.1328125" customWidth="1"/>
    <col min="4880" max="4880" width="11.1328125" customWidth="1"/>
    <col min="4881" max="4881" width="24.265625" customWidth="1"/>
    <col min="4882" max="4885" width="18.3984375" customWidth="1"/>
    <col min="5122" max="5122" width="18.3984375" customWidth="1"/>
    <col min="5123" max="5123" width="32.265625" customWidth="1"/>
    <col min="5124" max="5124" width="14.1328125" customWidth="1"/>
    <col min="5125" max="5127" width="12.3984375" bestFit="1" customWidth="1"/>
    <col min="5128" max="5128" width="10.73046875" customWidth="1"/>
    <col min="5129" max="5129" width="8.3984375" customWidth="1"/>
    <col min="5130" max="5130" width="27.59765625" customWidth="1"/>
    <col min="5131" max="5134" width="15.73046875" customWidth="1"/>
    <col min="5135" max="5135" width="12.1328125" customWidth="1"/>
    <col min="5136" max="5136" width="11.1328125" customWidth="1"/>
    <col min="5137" max="5137" width="24.265625" customWidth="1"/>
    <col min="5138" max="5141" width="18.3984375" customWidth="1"/>
    <col min="5378" max="5378" width="18.3984375" customWidth="1"/>
    <col min="5379" max="5379" width="32.265625" customWidth="1"/>
    <col min="5380" max="5380" width="14.1328125" customWidth="1"/>
    <col min="5381" max="5383" width="12.3984375" bestFit="1" customWidth="1"/>
    <col min="5384" max="5384" width="10.73046875" customWidth="1"/>
    <col min="5385" max="5385" width="8.3984375" customWidth="1"/>
    <col min="5386" max="5386" width="27.59765625" customWidth="1"/>
    <col min="5387" max="5390" width="15.73046875" customWidth="1"/>
    <col min="5391" max="5391" width="12.1328125" customWidth="1"/>
    <col min="5392" max="5392" width="11.1328125" customWidth="1"/>
    <col min="5393" max="5393" width="24.265625" customWidth="1"/>
    <col min="5394" max="5397" width="18.3984375" customWidth="1"/>
    <col min="5634" max="5634" width="18.3984375" customWidth="1"/>
    <col min="5635" max="5635" width="32.265625" customWidth="1"/>
    <col min="5636" max="5636" width="14.1328125" customWidth="1"/>
    <col min="5637" max="5639" width="12.3984375" bestFit="1" customWidth="1"/>
    <col min="5640" max="5640" width="10.73046875" customWidth="1"/>
    <col min="5641" max="5641" width="8.3984375" customWidth="1"/>
    <col min="5642" max="5642" width="27.59765625" customWidth="1"/>
    <col min="5643" max="5646" width="15.73046875" customWidth="1"/>
    <col min="5647" max="5647" width="12.1328125" customWidth="1"/>
    <col min="5648" max="5648" width="11.1328125" customWidth="1"/>
    <col min="5649" max="5649" width="24.265625" customWidth="1"/>
    <col min="5650" max="5653" width="18.3984375" customWidth="1"/>
    <col min="5890" max="5890" width="18.3984375" customWidth="1"/>
    <col min="5891" max="5891" width="32.265625" customWidth="1"/>
    <col min="5892" max="5892" width="14.1328125" customWidth="1"/>
    <col min="5893" max="5895" width="12.3984375" bestFit="1" customWidth="1"/>
    <col min="5896" max="5896" width="10.73046875" customWidth="1"/>
    <col min="5897" max="5897" width="8.3984375" customWidth="1"/>
    <col min="5898" max="5898" width="27.59765625" customWidth="1"/>
    <col min="5899" max="5902" width="15.73046875" customWidth="1"/>
    <col min="5903" max="5903" width="12.1328125" customWidth="1"/>
    <col min="5904" max="5904" width="11.1328125" customWidth="1"/>
    <col min="5905" max="5905" width="24.265625" customWidth="1"/>
    <col min="5906" max="5909" width="18.3984375" customWidth="1"/>
    <col min="6146" max="6146" width="18.3984375" customWidth="1"/>
    <col min="6147" max="6147" width="32.265625" customWidth="1"/>
    <col min="6148" max="6148" width="14.1328125" customWidth="1"/>
    <col min="6149" max="6151" width="12.3984375" bestFit="1" customWidth="1"/>
    <col min="6152" max="6152" width="10.73046875" customWidth="1"/>
    <col min="6153" max="6153" width="8.3984375" customWidth="1"/>
    <col min="6154" max="6154" width="27.59765625" customWidth="1"/>
    <col min="6155" max="6158" width="15.73046875" customWidth="1"/>
    <col min="6159" max="6159" width="12.1328125" customWidth="1"/>
    <col min="6160" max="6160" width="11.1328125" customWidth="1"/>
    <col min="6161" max="6161" width="24.265625" customWidth="1"/>
    <col min="6162" max="6165" width="18.3984375" customWidth="1"/>
    <col min="6402" max="6402" width="18.3984375" customWidth="1"/>
    <col min="6403" max="6403" width="32.265625" customWidth="1"/>
    <col min="6404" max="6404" width="14.1328125" customWidth="1"/>
    <col min="6405" max="6407" width="12.3984375" bestFit="1" customWidth="1"/>
    <col min="6408" max="6408" width="10.73046875" customWidth="1"/>
    <col min="6409" max="6409" width="8.3984375" customWidth="1"/>
    <col min="6410" max="6410" width="27.59765625" customWidth="1"/>
    <col min="6411" max="6414" width="15.73046875" customWidth="1"/>
    <col min="6415" max="6415" width="12.1328125" customWidth="1"/>
    <col min="6416" max="6416" width="11.1328125" customWidth="1"/>
    <col min="6417" max="6417" width="24.265625" customWidth="1"/>
    <col min="6418" max="6421" width="18.3984375" customWidth="1"/>
    <col min="6658" max="6658" width="18.3984375" customWidth="1"/>
    <col min="6659" max="6659" width="32.265625" customWidth="1"/>
    <col min="6660" max="6660" width="14.1328125" customWidth="1"/>
    <col min="6661" max="6663" width="12.3984375" bestFit="1" customWidth="1"/>
    <col min="6664" max="6664" width="10.73046875" customWidth="1"/>
    <col min="6665" max="6665" width="8.3984375" customWidth="1"/>
    <col min="6666" max="6666" width="27.59765625" customWidth="1"/>
    <col min="6667" max="6670" width="15.73046875" customWidth="1"/>
    <col min="6671" max="6671" width="12.1328125" customWidth="1"/>
    <col min="6672" max="6672" width="11.1328125" customWidth="1"/>
    <col min="6673" max="6673" width="24.265625" customWidth="1"/>
    <col min="6674" max="6677" width="18.3984375" customWidth="1"/>
    <col min="6914" max="6914" width="18.3984375" customWidth="1"/>
    <col min="6915" max="6915" width="32.265625" customWidth="1"/>
    <col min="6916" max="6916" width="14.1328125" customWidth="1"/>
    <col min="6917" max="6919" width="12.3984375" bestFit="1" customWidth="1"/>
    <col min="6920" max="6920" width="10.73046875" customWidth="1"/>
    <col min="6921" max="6921" width="8.3984375" customWidth="1"/>
    <col min="6922" max="6922" width="27.59765625" customWidth="1"/>
    <col min="6923" max="6926" width="15.73046875" customWidth="1"/>
    <col min="6927" max="6927" width="12.1328125" customWidth="1"/>
    <col min="6928" max="6928" width="11.1328125" customWidth="1"/>
    <col min="6929" max="6929" width="24.265625" customWidth="1"/>
    <col min="6930" max="6933" width="18.3984375" customWidth="1"/>
    <col min="7170" max="7170" width="18.3984375" customWidth="1"/>
    <col min="7171" max="7171" width="32.265625" customWidth="1"/>
    <col min="7172" max="7172" width="14.1328125" customWidth="1"/>
    <col min="7173" max="7175" width="12.3984375" bestFit="1" customWidth="1"/>
    <col min="7176" max="7176" width="10.73046875" customWidth="1"/>
    <col min="7177" max="7177" width="8.3984375" customWidth="1"/>
    <col min="7178" max="7178" width="27.59765625" customWidth="1"/>
    <col min="7179" max="7182" width="15.73046875" customWidth="1"/>
    <col min="7183" max="7183" width="12.1328125" customWidth="1"/>
    <col min="7184" max="7184" width="11.1328125" customWidth="1"/>
    <col min="7185" max="7185" width="24.265625" customWidth="1"/>
    <col min="7186" max="7189" width="18.3984375" customWidth="1"/>
    <col min="7426" max="7426" width="18.3984375" customWidth="1"/>
    <col min="7427" max="7427" width="32.265625" customWidth="1"/>
    <col min="7428" max="7428" width="14.1328125" customWidth="1"/>
    <col min="7429" max="7431" width="12.3984375" bestFit="1" customWidth="1"/>
    <col min="7432" max="7432" width="10.73046875" customWidth="1"/>
    <col min="7433" max="7433" width="8.3984375" customWidth="1"/>
    <col min="7434" max="7434" width="27.59765625" customWidth="1"/>
    <col min="7435" max="7438" width="15.73046875" customWidth="1"/>
    <col min="7439" max="7439" width="12.1328125" customWidth="1"/>
    <col min="7440" max="7440" width="11.1328125" customWidth="1"/>
    <col min="7441" max="7441" width="24.265625" customWidth="1"/>
    <col min="7442" max="7445" width="18.3984375" customWidth="1"/>
    <col min="7682" max="7682" width="18.3984375" customWidth="1"/>
    <col min="7683" max="7683" width="32.265625" customWidth="1"/>
    <col min="7684" max="7684" width="14.1328125" customWidth="1"/>
    <col min="7685" max="7687" width="12.3984375" bestFit="1" customWidth="1"/>
    <col min="7688" max="7688" width="10.73046875" customWidth="1"/>
    <col min="7689" max="7689" width="8.3984375" customWidth="1"/>
    <col min="7690" max="7690" width="27.59765625" customWidth="1"/>
    <col min="7691" max="7694" width="15.73046875" customWidth="1"/>
    <col min="7695" max="7695" width="12.1328125" customWidth="1"/>
    <col min="7696" max="7696" width="11.1328125" customWidth="1"/>
    <col min="7697" max="7697" width="24.265625" customWidth="1"/>
    <col min="7698" max="7701" width="18.3984375" customWidth="1"/>
    <col min="7938" max="7938" width="18.3984375" customWidth="1"/>
    <col min="7939" max="7939" width="32.265625" customWidth="1"/>
    <col min="7940" max="7940" width="14.1328125" customWidth="1"/>
    <col min="7941" max="7943" width="12.3984375" bestFit="1" customWidth="1"/>
    <col min="7944" max="7944" width="10.73046875" customWidth="1"/>
    <col min="7945" max="7945" width="8.3984375" customWidth="1"/>
    <col min="7946" max="7946" width="27.59765625" customWidth="1"/>
    <col min="7947" max="7950" width="15.73046875" customWidth="1"/>
    <col min="7951" max="7951" width="12.1328125" customWidth="1"/>
    <col min="7952" max="7952" width="11.1328125" customWidth="1"/>
    <col min="7953" max="7953" width="24.265625" customWidth="1"/>
    <col min="7954" max="7957" width="18.3984375" customWidth="1"/>
    <col min="8194" max="8194" width="18.3984375" customWidth="1"/>
    <col min="8195" max="8195" width="32.265625" customWidth="1"/>
    <col min="8196" max="8196" width="14.1328125" customWidth="1"/>
    <col min="8197" max="8199" width="12.3984375" bestFit="1" customWidth="1"/>
    <col min="8200" max="8200" width="10.73046875" customWidth="1"/>
    <col min="8201" max="8201" width="8.3984375" customWidth="1"/>
    <col min="8202" max="8202" width="27.59765625" customWidth="1"/>
    <col min="8203" max="8206" width="15.73046875" customWidth="1"/>
    <col min="8207" max="8207" width="12.1328125" customWidth="1"/>
    <col min="8208" max="8208" width="11.1328125" customWidth="1"/>
    <col min="8209" max="8209" width="24.265625" customWidth="1"/>
    <col min="8210" max="8213" width="18.3984375" customWidth="1"/>
    <col min="8450" max="8450" width="18.3984375" customWidth="1"/>
    <col min="8451" max="8451" width="32.265625" customWidth="1"/>
    <col min="8452" max="8452" width="14.1328125" customWidth="1"/>
    <col min="8453" max="8455" width="12.3984375" bestFit="1" customWidth="1"/>
    <col min="8456" max="8456" width="10.73046875" customWidth="1"/>
    <col min="8457" max="8457" width="8.3984375" customWidth="1"/>
    <col min="8458" max="8458" width="27.59765625" customWidth="1"/>
    <col min="8459" max="8462" width="15.73046875" customWidth="1"/>
    <col min="8463" max="8463" width="12.1328125" customWidth="1"/>
    <col min="8464" max="8464" width="11.1328125" customWidth="1"/>
    <col min="8465" max="8465" width="24.265625" customWidth="1"/>
    <col min="8466" max="8469" width="18.3984375" customWidth="1"/>
    <col min="8706" max="8706" width="18.3984375" customWidth="1"/>
    <col min="8707" max="8707" width="32.265625" customWidth="1"/>
    <col min="8708" max="8708" width="14.1328125" customWidth="1"/>
    <col min="8709" max="8711" width="12.3984375" bestFit="1" customWidth="1"/>
    <col min="8712" max="8712" width="10.73046875" customWidth="1"/>
    <col min="8713" max="8713" width="8.3984375" customWidth="1"/>
    <col min="8714" max="8714" width="27.59765625" customWidth="1"/>
    <col min="8715" max="8718" width="15.73046875" customWidth="1"/>
    <col min="8719" max="8719" width="12.1328125" customWidth="1"/>
    <col min="8720" max="8720" width="11.1328125" customWidth="1"/>
    <col min="8721" max="8721" width="24.265625" customWidth="1"/>
    <col min="8722" max="8725" width="18.3984375" customWidth="1"/>
    <col min="8962" max="8962" width="18.3984375" customWidth="1"/>
    <col min="8963" max="8963" width="32.265625" customWidth="1"/>
    <col min="8964" max="8964" width="14.1328125" customWidth="1"/>
    <col min="8965" max="8967" width="12.3984375" bestFit="1" customWidth="1"/>
    <col min="8968" max="8968" width="10.73046875" customWidth="1"/>
    <col min="8969" max="8969" width="8.3984375" customWidth="1"/>
    <col min="8970" max="8970" width="27.59765625" customWidth="1"/>
    <col min="8971" max="8974" width="15.73046875" customWidth="1"/>
    <col min="8975" max="8975" width="12.1328125" customWidth="1"/>
    <col min="8976" max="8976" width="11.1328125" customWidth="1"/>
    <col min="8977" max="8977" width="24.265625" customWidth="1"/>
    <col min="8978" max="8981" width="18.3984375" customWidth="1"/>
    <col min="9218" max="9218" width="18.3984375" customWidth="1"/>
    <col min="9219" max="9219" width="32.265625" customWidth="1"/>
    <col min="9220" max="9220" width="14.1328125" customWidth="1"/>
    <col min="9221" max="9223" width="12.3984375" bestFit="1" customWidth="1"/>
    <col min="9224" max="9224" width="10.73046875" customWidth="1"/>
    <col min="9225" max="9225" width="8.3984375" customWidth="1"/>
    <col min="9226" max="9226" width="27.59765625" customWidth="1"/>
    <col min="9227" max="9230" width="15.73046875" customWidth="1"/>
    <col min="9231" max="9231" width="12.1328125" customWidth="1"/>
    <col min="9232" max="9232" width="11.1328125" customWidth="1"/>
    <col min="9233" max="9233" width="24.265625" customWidth="1"/>
    <col min="9234" max="9237" width="18.3984375" customWidth="1"/>
    <col min="9474" max="9474" width="18.3984375" customWidth="1"/>
    <col min="9475" max="9475" width="32.265625" customWidth="1"/>
    <col min="9476" max="9476" width="14.1328125" customWidth="1"/>
    <col min="9477" max="9479" width="12.3984375" bestFit="1" customWidth="1"/>
    <col min="9480" max="9480" width="10.73046875" customWidth="1"/>
    <col min="9481" max="9481" width="8.3984375" customWidth="1"/>
    <col min="9482" max="9482" width="27.59765625" customWidth="1"/>
    <col min="9483" max="9486" width="15.73046875" customWidth="1"/>
    <col min="9487" max="9487" width="12.1328125" customWidth="1"/>
    <col min="9488" max="9488" width="11.1328125" customWidth="1"/>
    <col min="9489" max="9489" width="24.265625" customWidth="1"/>
    <col min="9490" max="9493" width="18.3984375" customWidth="1"/>
    <col min="9730" max="9730" width="18.3984375" customWidth="1"/>
    <col min="9731" max="9731" width="32.265625" customWidth="1"/>
    <col min="9732" max="9732" width="14.1328125" customWidth="1"/>
    <col min="9733" max="9735" width="12.3984375" bestFit="1" customWidth="1"/>
    <col min="9736" max="9736" width="10.73046875" customWidth="1"/>
    <col min="9737" max="9737" width="8.3984375" customWidth="1"/>
    <col min="9738" max="9738" width="27.59765625" customWidth="1"/>
    <col min="9739" max="9742" width="15.73046875" customWidth="1"/>
    <col min="9743" max="9743" width="12.1328125" customWidth="1"/>
    <col min="9744" max="9744" width="11.1328125" customWidth="1"/>
    <col min="9745" max="9745" width="24.265625" customWidth="1"/>
    <col min="9746" max="9749" width="18.3984375" customWidth="1"/>
    <col min="9986" max="9986" width="18.3984375" customWidth="1"/>
    <col min="9987" max="9987" width="32.265625" customWidth="1"/>
    <col min="9988" max="9988" width="14.1328125" customWidth="1"/>
    <col min="9989" max="9991" width="12.3984375" bestFit="1" customWidth="1"/>
    <col min="9992" max="9992" width="10.73046875" customWidth="1"/>
    <col min="9993" max="9993" width="8.3984375" customWidth="1"/>
    <col min="9994" max="9994" width="27.59765625" customWidth="1"/>
    <col min="9995" max="9998" width="15.73046875" customWidth="1"/>
    <col min="9999" max="9999" width="12.1328125" customWidth="1"/>
    <col min="10000" max="10000" width="11.1328125" customWidth="1"/>
    <col min="10001" max="10001" width="24.265625" customWidth="1"/>
    <col min="10002" max="10005" width="18.3984375" customWidth="1"/>
    <col min="10242" max="10242" width="18.3984375" customWidth="1"/>
    <col min="10243" max="10243" width="32.265625" customWidth="1"/>
    <col min="10244" max="10244" width="14.1328125" customWidth="1"/>
    <col min="10245" max="10247" width="12.3984375" bestFit="1" customWidth="1"/>
    <col min="10248" max="10248" width="10.73046875" customWidth="1"/>
    <col min="10249" max="10249" width="8.3984375" customWidth="1"/>
    <col min="10250" max="10250" width="27.59765625" customWidth="1"/>
    <col min="10251" max="10254" width="15.73046875" customWidth="1"/>
    <col min="10255" max="10255" width="12.1328125" customWidth="1"/>
    <col min="10256" max="10256" width="11.1328125" customWidth="1"/>
    <col min="10257" max="10257" width="24.265625" customWidth="1"/>
    <col min="10258" max="10261" width="18.3984375" customWidth="1"/>
    <col min="10498" max="10498" width="18.3984375" customWidth="1"/>
    <col min="10499" max="10499" width="32.265625" customWidth="1"/>
    <col min="10500" max="10500" width="14.1328125" customWidth="1"/>
    <col min="10501" max="10503" width="12.3984375" bestFit="1" customWidth="1"/>
    <col min="10504" max="10504" width="10.73046875" customWidth="1"/>
    <col min="10505" max="10505" width="8.3984375" customWidth="1"/>
    <col min="10506" max="10506" width="27.59765625" customWidth="1"/>
    <col min="10507" max="10510" width="15.73046875" customWidth="1"/>
    <col min="10511" max="10511" width="12.1328125" customWidth="1"/>
    <col min="10512" max="10512" width="11.1328125" customWidth="1"/>
    <col min="10513" max="10513" width="24.265625" customWidth="1"/>
    <col min="10514" max="10517" width="18.3984375" customWidth="1"/>
    <col min="10754" max="10754" width="18.3984375" customWidth="1"/>
    <col min="10755" max="10755" width="32.265625" customWidth="1"/>
    <col min="10756" max="10756" width="14.1328125" customWidth="1"/>
    <col min="10757" max="10759" width="12.3984375" bestFit="1" customWidth="1"/>
    <col min="10760" max="10760" width="10.73046875" customWidth="1"/>
    <col min="10761" max="10761" width="8.3984375" customWidth="1"/>
    <col min="10762" max="10762" width="27.59765625" customWidth="1"/>
    <col min="10763" max="10766" width="15.73046875" customWidth="1"/>
    <col min="10767" max="10767" width="12.1328125" customWidth="1"/>
    <col min="10768" max="10768" width="11.1328125" customWidth="1"/>
    <col min="10769" max="10769" width="24.265625" customWidth="1"/>
    <col min="10770" max="10773" width="18.3984375" customWidth="1"/>
    <col min="11010" max="11010" width="18.3984375" customWidth="1"/>
    <col min="11011" max="11011" width="32.265625" customWidth="1"/>
    <col min="11012" max="11012" width="14.1328125" customWidth="1"/>
    <col min="11013" max="11015" width="12.3984375" bestFit="1" customWidth="1"/>
    <col min="11016" max="11016" width="10.73046875" customWidth="1"/>
    <col min="11017" max="11017" width="8.3984375" customWidth="1"/>
    <col min="11018" max="11018" width="27.59765625" customWidth="1"/>
    <col min="11019" max="11022" width="15.73046875" customWidth="1"/>
    <col min="11023" max="11023" width="12.1328125" customWidth="1"/>
    <col min="11024" max="11024" width="11.1328125" customWidth="1"/>
    <col min="11025" max="11025" width="24.265625" customWidth="1"/>
    <col min="11026" max="11029" width="18.3984375" customWidth="1"/>
    <col min="11266" max="11266" width="18.3984375" customWidth="1"/>
    <col min="11267" max="11267" width="32.265625" customWidth="1"/>
    <col min="11268" max="11268" width="14.1328125" customWidth="1"/>
    <col min="11269" max="11271" width="12.3984375" bestFit="1" customWidth="1"/>
    <col min="11272" max="11272" width="10.73046875" customWidth="1"/>
    <col min="11273" max="11273" width="8.3984375" customWidth="1"/>
    <col min="11274" max="11274" width="27.59765625" customWidth="1"/>
    <col min="11275" max="11278" width="15.73046875" customWidth="1"/>
    <col min="11279" max="11279" width="12.1328125" customWidth="1"/>
    <col min="11280" max="11280" width="11.1328125" customWidth="1"/>
    <col min="11281" max="11281" width="24.265625" customWidth="1"/>
    <col min="11282" max="11285" width="18.3984375" customWidth="1"/>
    <col min="11522" max="11522" width="18.3984375" customWidth="1"/>
    <col min="11523" max="11523" width="32.265625" customWidth="1"/>
    <col min="11524" max="11524" width="14.1328125" customWidth="1"/>
    <col min="11525" max="11527" width="12.3984375" bestFit="1" customWidth="1"/>
    <col min="11528" max="11528" width="10.73046875" customWidth="1"/>
    <col min="11529" max="11529" width="8.3984375" customWidth="1"/>
    <col min="11530" max="11530" width="27.59765625" customWidth="1"/>
    <col min="11531" max="11534" width="15.73046875" customWidth="1"/>
    <col min="11535" max="11535" width="12.1328125" customWidth="1"/>
    <col min="11536" max="11536" width="11.1328125" customWidth="1"/>
    <col min="11537" max="11537" width="24.265625" customWidth="1"/>
    <col min="11538" max="11541" width="18.3984375" customWidth="1"/>
    <col min="11778" max="11778" width="18.3984375" customWidth="1"/>
    <col min="11779" max="11779" width="32.265625" customWidth="1"/>
    <col min="11780" max="11780" width="14.1328125" customWidth="1"/>
    <col min="11781" max="11783" width="12.3984375" bestFit="1" customWidth="1"/>
    <col min="11784" max="11784" width="10.73046875" customWidth="1"/>
    <col min="11785" max="11785" width="8.3984375" customWidth="1"/>
    <col min="11786" max="11786" width="27.59765625" customWidth="1"/>
    <col min="11787" max="11790" width="15.73046875" customWidth="1"/>
    <col min="11791" max="11791" width="12.1328125" customWidth="1"/>
    <col min="11792" max="11792" width="11.1328125" customWidth="1"/>
    <col min="11793" max="11793" width="24.265625" customWidth="1"/>
    <col min="11794" max="11797" width="18.3984375" customWidth="1"/>
    <col min="12034" max="12034" width="18.3984375" customWidth="1"/>
    <col min="12035" max="12035" width="32.265625" customWidth="1"/>
    <col min="12036" max="12036" width="14.1328125" customWidth="1"/>
    <col min="12037" max="12039" width="12.3984375" bestFit="1" customWidth="1"/>
    <col min="12040" max="12040" width="10.73046875" customWidth="1"/>
    <col min="12041" max="12041" width="8.3984375" customWidth="1"/>
    <col min="12042" max="12042" width="27.59765625" customWidth="1"/>
    <col min="12043" max="12046" width="15.73046875" customWidth="1"/>
    <col min="12047" max="12047" width="12.1328125" customWidth="1"/>
    <col min="12048" max="12048" width="11.1328125" customWidth="1"/>
    <col min="12049" max="12049" width="24.265625" customWidth="1"/>
    <col min="12050" max="12053" width="18.3984375" customWidth="1"/>
    <col min="12290" max="12290" width="18.3984375" customWidth="1"/>
    <col min="12291" max="12291" width="32.265625" customWidth="1"/>
    <col min="12292" max="12292" width="14.1328125" customWidth="1"/>
    <col min="12293" max="12295" width="12.3984375" bestFit="1" customWidth="1"/>
    <col min="12296" max="12296" width="10.73046875" customWidth="1"/>
    <col min="12297" max="12297" width="8.3984375" customWidth="1"/>
    <col min="12298" max="12298" width="27.59765625" customWidth="1"/>
    <col min="12299" max="12302" width="15.73046875" customWidth="1"/>
    <col min="12303" max="12303" width="12.1328125" customWidth="1"/>
    <col min="12304" max="12304" width="11.1328125" customWidth="1"/>
    <col min="12305" max="12305" width="24.265625" customWidth="1"/>
    <col min="12306" max="12309" width="18.3984375" customWidth="1"/>
    <col min="12546" max="12546" width="18.3984375" customWidth="1"/>
    <col min="12547" max="12547" width="32.265625" customWidth="1"/>
    <col min="12548" max="12548" width="14.1328125" customWidth="1"/>
    <col min="12549" max="12551" width="12.3984375" bestFit="1" customWidth="1"/>
    <col min="12552" max="12552" width="10.73046875" customWidth="1"/>
    <col min="12553" max="12553" width="8.3984375" customWidth="1"/>
    <col min="12554" max="12554" width="27.59765625" customWidth="1"/>
    <col min="12555" max="12558" width="15.73046875" customWidth="1"/>
    <col min="12559" max="12559" width="12.1328125" customWidth="1"/>
    <col min="12560" max="12560" width="11.1328125" customWidth="1"/>
    <col min="12561" max="12561" width="24.265625" customWidth="1"/>
    <col min="12562" max="12565" width="18.3984375" customWidth="1"/>
    <col min="12802" max="12802" width="18.3984375" customWidth="1"/>
    <col min="12803" max="12803" width="32.265625" customWidth="1"/>
    <col min="12804" max="12804" width="14.1328125" customWidth="1"/>
    <col min="12805" max="12807" width="12.3984375" bestFit="1" customWidth="1"/>
    <col min="12808" max="12808" width="10.73046875" customWidth="1"/>
    <col min="12809" max="12809" width="8.3984375" customWidth="1"/>
    <col min="12810" max="12810" width="27.59765625" customWidth="1"/>
    <col min="12811" max="12814" width="15.73046875" customWidth="1"/>
    <col min="12815" max="12815" width="12.1328125" customWidth="1"/>
    <col min="12816" max="12816" width="11.1328125" customWidth="1"/>
    <col min="12817" max="12817" width="24.265625" customWidth="1"/>
    <col min="12818" max="12821" width="18.3984375" customWidth="1"/>
    <col min="13058" max="13058" width="18.3984375" customWidth="1"/>
    <col min="13059" max="13059" width="32.265625" customWidth="1"/>
    <col min="13060" max="13060" width="14.1328125" customWidth="1"/>
    <col min="13061" max="13063" width="12.3984375" bestFit="1" customWidth="1"/>
    <col min="13064" max="13064" width="10.73046875" customWidth="1"/>
    <col min="13065" max="13065" width="8.3984375" customWidth="1"/>
    <col min="13066" max="13066" width="27.59765625" customWidth="1"/>
    <col min="13067" max="13070" width="15.73046875" customWidth="1"/>
    <col min="13071" max="13071" width="12.1328125" customWidth="1"/>
    <col min="13072" max="13072" width="11.1328125" customWidth="1"/>
    <col min="13073" max="13073" width="24.265625" customWidth="1"/>
    <col min="13074" max="13077" width="18.3984375" customWidth="1"/>
    <col min="13314" max="13314" width="18.3984375" customWidth="1"/>
    <col min="13315" max="13315" width="32.265625" customWidth="1"/>
    <col min="13316" max="13316" width="14.1328125" customWidth="1"/>
    <col min="13317" max="13319" width="12.3984375" bestFit="1" customWidth="1"/>
    <col min="13320" max="13320" width="10.73046875" customWidth="1"/>
    <col min="13321" max="13321" width="8.3984375" customWidth="1"/>
    <col min="13322" max="13322" width="27.59765625" customWidth="1"/>
    <col min="13323" max="13326" width="15.73046875" customWidth="1"/>
    <col min="13327" max="13327" width="12.1328125" customWidth="1"/>
    <col min="13328" max="13328" width="11.1328125" customWidth="1"/>
    <col min="13329" max="13329" width="24.265625" customWidth="1"/>
    <col min="13330" max="13333" width="18.3984375" customWidth="1"/>
    <col min="13570" max="13570" width="18.3984375" customWidth="1"/>
    <col min="13571" max="13571" width="32.265625" customWidth="1"/>
    <col min="13572" max="13572" width="14.1328125" customWidth="1"/>
    <col min="13573" max="13575" width="12.3984375" bestFit="1" customWidth="1"/>
    <col min="13576" max="13576" width="10.73046875" customWidth="1"/>
    <col min="13577" max="13577" width="8.3984375" customWidth="1"/>
    <col min="13578" max="13578" width="27.59765625" customWidth="1"/>
    <col min="13579" max="13582" width="15.73046875" customWidth="1"/>
    <col min="13583" max="13583" width="12.1328125" customWidth="1"/>
    <col min="13584" max="13584" width="11.1328125" customWidth="1"/>
    <col min="13585" max="13585" width="24.265625" customWidth="1"/>
    <col min="13586" max="13589" width="18.3984375" customWidth="1"/>
    <col min="13826" max="13826" width="18.3984375" customWidth="1"/>
    <col min="13827" max="13827" width="32.265625" customWidth="1"/>
    <col min="13828" max="13828" width="14.1328125" customWidth="1"/>
    <col min="13829" max="13831" width="12.3984375" bestFit="1" customWidth="1"/>
    <col min="13832" max="13832" width="10.73046875" customWidth="1"/>
    <col min="13833" max="13833" width="8.3984375" customWidth="1"/>
    <col min="13834" max="13834" width="27.59765625" customWidth="1"/>
    <col min="13835" max="13838" width="15.73046875" customWidth="1"/>
    <col min="13839" max="13839" width="12.1328125" customWidth="1"/>
    <col min="13840" max="13840" width="11.1328125" customWidth="1"/>
    <col min="13841" max="13841" width="24.265625" customWidth="1"/>
    <col min="13842" max="13845" width="18.3984375" customWidth="1"/>
    <col min="14082" max="14082" width="18.3984375" customWidth="1"/>
    <col min="14083" max="14083" width="32.265625" customWidth="1"/>
    <col min="14084" max="14084" width="14.1328125" customWidth="1"/>
    <col min="14085" max="14087" width="12.3984375" bestFit="1" customWidth="1"/>
    <col min="14088" max="14088" width="10.73046875" customWidth="1"/>
    <col min="14089" max="14089" width="8.3984375" customWidth="1"/>
    <col min="14090" max="14090" width="27.59765625" customWidth="1"/>
    <col min="14091" max="14094" width="15.73046875" customWidth="1"/>
    <col min="14095" max="14095" width="12.1328125" customWidth="1"/>
    <col min="14096" max="14096" width="11.1328125" customWidth="1"/>
    <col min="14097" max="14097" width="24.265625" customWidth="1"/>
    <col min="14098" max="14101" width="18.3984375" customWidth="1"/>
    <col min="14338" max="14338" width="18.3984375" customWidth="1"/>
    <col min="14339" max="14339" width="32.265625" customWidth="1"/>
    <col min="14340" max="14340" width="14.1328125" customWidth="1"/>
    <col min="14341" max="14343" width="12.3984375" bestFit="1" customWidth="1"/>
    <col min="14344" max="14344" width="10.73046875" customWidth="1"/>
    <col min="14345" max="14345" width="8.3984375" customWidth="1"/>
    <col min="14346" max="14346" width="27.59765625" customWidth="1"/>
    <col min="14347" max="14350" width="15.73046875" customWidth="1"/>
    <col min="14351" max="14351" width="12.1328125" customWidth="1"/>
    <col min="14352" max="14352" width="11.1328125" customWidth="1"/>
    <col min="14353" max="14353" width="24.265625" customWidth="1"/>
    <col min="14354" max="14357" width="18.3984375" customWidth="1"/>
    <col min="14594" max="14594" width="18.3984375" customWidth="1"/>
    <col min="14595" max="14595" width="32.265625" customWidth="1"/>
    <col min="14596" max="14596" width="14.1328125" customWidth="1"/>
    <col min="14597" max="14599" width="12.3984375" bestFit="1" customWidth="1"/>
    <col min="14600" max="14600" width="10.73046875" customWidth="1"/>
    <col min="14601" max="14601" width="8.3984375" customWidth="1"/>
    <col min="14602" max="14602" width="27.59765625" customWidth="1"/>
    <col min="14603" max="14606" width="15.73046875" customWidth="1"/>
    <col min="14607" max="14607" width="12.1328125" customWidth="1"/>
    <col min="14608" max="14608" width="11.1328125" customWidth="1"/>
    <col min="14609" max="14609" width="24.265625" customWidth="1"/>
    <col min="14610" max="14613" width="18.3984375" customWidth="1"/>
    <col min="14850" max="14850" width="18.3984375" customWidth="1"/>
    <col min="14851" max="14851" width="32.265625" customWidth="1"/>
    <col min="14852" max="14852" width="14.1328125" customWidth="1"/>
    <col min="14853" max="14855" width="12.3984375" bestFit="1" customWidth="1"/>
    <col min="14856" max="14856" width="10.73046875" customWidth="1"/>
    <col min="14857" max="14857" width="8.3984375" customWidth="1"/>
    <col min="14858" max="14858" width="27.59765625" customWidth="1"/>
    <col min="14859" max="14862" width="15.73046875" customWidth="1"/>
    <col min="14863" max="14863" width="12.1328125" customWidth="1"/>
    <col min="14864" max="14864" width="11.1328125" customWidth="1"/>
    <col min="14865" max="14865" width="24.265625" customWidth="1"/>
    <col min="14866" max="14869" width="18.3984375" customWidth="1"/>
    <col min="15106" max="15106" width="18.3984375" customWidth="1"/>
    <col min="15107" max="15107" width="32.265625" customWidth="1"/>
    <col min="15108" max="15108" width="14.1328125" customWidth="1"/>
    <col min="15109" max="15111" width="12.3984375" bestFit="1" customWidth="1"/>
    <col min="15112" max="15112" width="10.73046875" customWidth="1"/>
    <col min="15113" max="15113" width="8.3984375" customWidth="1"/>
    <col min="15114" max="15114" width="27.59765625" customWidth="1"/>
    <col min="15115" max="15118" width="15.73046875" customWidth="1"/>
    <col min="15119" max="15119" width="12.1328125" customWidth="1"/>
    <col min="15120" max="15120" width="11.1328125" customWidth="1"/>
    <col min="15121" max="15121" width="24.265625" customWidth="1"/>
    <col min="15122" max="15125" width="18.3984375" customWidth="1"/>
    <col min="15362" max="15362" width="18.3984375" customWidth="1"/>
    <col min="15363" max="15363" width="32.265625" customWidth="1"/>
    <col min="15364" max="15364" width="14.1328125" customWidth="1"/>
    <col min="15365" max="15367" width="12.3984375" bestFit="1" customWidth="1"/>
    <col min="15368" max="15368" width="10.73046875" customWidth="1"/>
    <col min="15369" max="15369" width="8.3984375" customWidth="1"/>
    <col min="15370" max="15370" width="27.59765625" customWidth="1"/>
    <col min="15371" max="15374" width="15.73046875" customWidth="1"/>
    <col min="15375" max="15375" width="12.1328125" customWidth="1"/>
    <col min="15376" max="15376" width="11.1328125" customWidth="1"/>
    <col min="15377" max="15377" width="24.265625" customWidth="1"/>
    <col min="15378" max="15381" width="18.3984375" customWidth="1"/>
    <col min="15618" max="15618" width="18.3984375" customWidth="1"/>
    <col min="15619" max="15619" width="32.265625" customWidth="1"/>
    <col min="15620" max="15620" width="14.1328125" customWidth="1"/>
    <col min="15621" max="15623" width="12.3984375" bestFit="1" customWidth="1"/>
    <col min="15624" max="15624" width="10.73046875" customWidth="1"/>
    <col min="15625" max="15625" width="8.3984375" customWidth="1"/>
    <col min="15626" max="15626" width="27.59765625" customWidth="1"/>
    <col min="15627" max="15630" width="15.73046875" customWidth="1"/>
    <col min="15631" max="15631" width="12.1328125" customWidth="1"/>
    <col min="15632" max="15632" width="11.1328125" customWidth="1"/>
    <col min="15633" max="15633" width="24.265625" customWidth="1"/>
    <col min="15634" max="15637" width="18.3984375" customWidth="1"/>
    <col min="15874" max="15874" width="18.3984375" customWidth="1"/>
    <col min="15875" max="15875" width="32.265625" customWidth="1"/>
    <col min="15876" max="15876" width="14.1328125" customWidth="1"/>
    <col min="15877" max="15879" width="12.3984375" bestFit="1" customWidth="1"/>
    <col min="15880" max="15880" width="10.73046875" customWidth="1"/>
    <col min="15881" max="15881" width="8.3984375" customWidth="1"/>
    <col min="15882" max="15882" width="27.59765625" customWidth="1"/>
    <col min="15883" max="15886" width="15.73046875" customWidth="1"/>
    <col min="15887" max="15887" width="12.1328125" customWidth="1"/>
    <col min="15888" max="15888" width="11.1328125" customWidth="1"/>
    <col min="15889" max="15889" width="24.265625" customWidth="1"/>
    <col min="15890" max="15893" width="18.3984375" customWidth="1"/>
    <col min="16130" max="16130" width="18.3984375" customWidth="1"/>
    <col min="16131" max="16131" width="32.265625" customWidth="1"/>
    <col min="16132" max="16132" width="14.1328125" customWidth="1"/>
    <col min="16133" max="16135" width="12.3984375" bestFit="1" customWidth="1"/>
    <col min="16136" max="16136" width="10.73046875" customWidth="1"/>
    <col min="16137" max="16137" width="8.3984375" customWidth="1"/>
    <col min="16138" max="16138" width="27.59765625" customWidth="1"/>
    <col min="16139" max="16142" width="15.73046875" customWidth="1"/>
    <col min="16143" max="16143" width="12.1328125" customWidth="1"/>
    <col min="16144" max="16144" width="11.1328125" customWidth="1"/>
    <col min="16145" max="16145" width="24.265625" customWidth="1"/>
    <col min="16146" max="16149" width="18.3984375" customWidth="1"/>
  </cols>
  <sheetData>
    <row r="1" spans="1:21" x14ac:dyDescent="0.4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5"/>
    </row>
    <row r="2" spans="1:21" x14ac:dyDescent="0.45">
      <c r="A2" s="294"/>
      <c r="B2" s="294"/>
      <c r="C2" s="294"/>
      <c r="D2" s="296">
        <v>2020</v>
      </c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>
        <f>+Q6+Q9</f>
        <v>216649.93949999998</v>
      </c>
      <c r="T2" s="297" t="s">
        <v>240</v>
      </c>
      <c r="U2" s="295"/>
    </row>
    <row r="3" spans="1:21" x14ac:dyDescent="0.45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5"/>
    </row>
    <row r="4" spans="1:21" x14ac:dyDescent="0.45">
      <c r="A4" s="294"/>
      <c r="B4" s="294"/>
      <c r="C4" s="294"/>
      <c r="D4" s="294"/>
      <c r="E4" s="294"/>
      <c r="F4" s="294"/>
      <c r="G4" s="298" t="s">
        <v>0</v>
      </c>
      <c r="H4" s="294"/>
      <c r="I4" s="294"/>
      <c r="J4" s="294"/>
      <c r="K4" s="294"/>
      <c r="L4" s="294"/>
      <c r="M4" s="294"/>
      <c r="N4" s="298" t="str">
        <f>+G4</f>
        <v xml:space="preserve"> </v>
      </c>
      <c r="O4" s="298"/>
      <c r="P4" s="294"/>
      <c r="Q4" s="294"/>
      <c r="R4" s="294"/>
      <c r="S4" s="294"/>
      <c r="T4" s="294"/>
      <c r="U4" s="299"/>
    </row>
    <row r="5" spans="1:21" ht="28.15" x14ac:dyDescent="0.45">
      <c r="A5" s="297" t="s">
        <v>241</v>
      </c>
      <c r="B5" s="297"/>
      <c r="C5" s="300" t="s">
        <v>242</v>
      </c>
      <c r="D5" s="301" t="s">
        <v>243</v>
      </c>
      <c r="E5" s="301" t="s">
        <v>244</v>
      </c>
      <c r="F5" s="301" t="s">
        <v>245</v>
      </c>
      <c r="G5" s="301" t="s">
        <v>246</v>
      </c>
      <c r="H5" s="294"/>
      <c r="I5" s="302" t="s">
        <v>247</v>
      </c>
      <c r="J5" s="300" t="s">
        <v>242</v>
      </c>
      <c r="K5" s="301" t="str">
        <f>+D5</f>
        <v>April</v>
      </c>
      <c r="L5" s="301" t="str">
        <f>+E5</f>
        <v>May</v>
      </c>
      <c r="M5" s="301" t="str">
        <f>+F5</f>
        <v>June</v>
      </c>
      <c r="N5" s="301" t="s">
        <v>246</v>
      </c>
      <c r="O5" s="301"/>
      <c r="P5" s="294"/>
      <c r="Q5" s="294"/>
      <c r="R5" s="294"/>
      <c r="S5" s="298" t="s">
        <v>248</v>
      </c>
      <c r="T5" s="298" t="s">
        <v>249</v>
      </c>
      <c r="U5" s="295"/>
    </row>
    <row r="6" spans="1:21" ht="15" customHeight="1" x14ac:dyDescent="0.45">
      <c r="A6" s="547" t="s">
        <v>250</v>
      </c>
      <c r="B6" s="303"/>
      <c r="C6" s="294" t="s">
        <v>251</v>
      </c>
      <c r="D6" s="304">
        <v>13530</v>
      </c>
      <c r="E6" s="304">
        <v>12915</v>
      </c>
      <c r="F6" s="304">
        <v>13530</v>
      </c>
      <c r="G6" s="294">
        <f>SUM(D6:F6)</f>
        <v>39975</v>
      </c>
      <c r="H6" s="294"/>
      <c r="I6" s="547" t="s">
        <v>250</v>
      </c>
      <c r="J6" s="294" t="s">
        <v>251</v>
      </c>
      <c r="K6" s="304">
        <v>13879.36</v>
      </c>
      <c r="L6" s="304">
        <v>12617.6</v>
      </c>
      <c r="M6" s="304">
        <v>13879.36</v>
      </c>
      <c r="N6" s="304">
        <f>SUM(K6:M6)</f>
        <v>40376.32</v>
      </c>
      <c r="O6" s="294"/>
      <c r="P6" s="294" t="s">
        <v>251</v>
      </c>
      <c r="Q6" s="305">
        <f>+S11</f>
        <v>199190.39499999999</v>
      </c>
      <c r="R6" s="294"/>
      <c r="S6" s="294">
        <f>+G6</f>
        <v>39975</v>
      </c>
      <c r="T6" s="294">
        <f>+G7</f>
        <v>-1321</v>
      </c>
      <c r="U6" s="295"/>
    </row>
    <row r="7" spans="1:21" x14ac:dyDescent="0.45">
      <c r="A7" s="547"/>
      <c r="B7" s="303"/>
      <c r="C7" s="294" t="s">
        <v>252</v>
      </c>
      <c r="D7" s="306">
        <v>-486</v>
      </c>
      <c r="E7" s="306">
        <v>-434</v>
      </c>
      <c r="F7" s="306">
        <v>-401</v>
      </c>
      <c r="G7" s="307">
        <f>SUM(D7:F7)</f>
        <v>-1321</v>
      </c>
      <c r="H7" s="294"/>
      <c r="I7" s="547"/>
      <c r="J7" s="294" t="s">
        <v>252</v>
      </c>
      <c r="K7" s="306">
        <v>-1471</v>
      </c>
      <c r="L7" s="306">
        <v>-1484</v>
      </c>
      <c r="M7" s="306">
        <v>-1990</v>
      </c>
      <c r="N7" s="304">
        <f>SUM(K7:M7)</f>
        <v>-4945</v>
      </c>
      <c r="O7" s="294"/>
      <c r="P7" s="294" t="s">
        <v>252</v>
      </c>
      <c r="Q7" s="307">
        <f>+T11</f>
        <v>-24595</v>
      </c>
      <c r="R7" s="294"/>
      <c r="S7" s="294">
        <f>+G21</f>
        <v>44291.834999999999</v>
      </c>
      <c r="T7" s="294">
        <f>+G22</f>
        <v>-16587</v>
      </c>
      <c r="U7" s="295"/>
    </row>
    <row r="8" spans="1:21" ht="14.65" thickBot="1" x14ac:dyDescent="0.5">
      <c r="A8" s="547"/>
      <c r="B8" s="303"/>
      <c r="C8" s="294" t="s">
        <v>253</v>
      </c>
      <c r="D8" s="308">
        <f>SUM(D6:D7)</f>
        <v>13044</v>
      </c>
      <c r="E8" s="308">
        <f>SUM(E6:E7)</f>
        <v>12481</v>
      </c>
      <c r="F8" s="308">
        <f>SUM(F6:F7)</f>
        <v>13129</v>
      </c>
      <c r="G8" s="308">
        <f>SUM(G6:G7)</f>
        <v>38654</v>
      </c>
      <c r="H8" s="294">
        <f>SUM(D8:F8)</f>
        <v>38654</v>
      </c>
      <c r="I8" s="547"/>
      <c r="J8" s="294" t="s">
        <v>253</v>
      </c>
      <c r="K8" s="308">
        <f>SUM(K6:K7)</f>
        <v>12408.36</v>
      </c>
      <c r="L8" s="308">
        <f t="shared" ref="L8:N8" si="0">SUM(L6:L7)</f>
        <v>11133.6</v>
      </c>
      <c r="M8" s="308">
        <f t="shared" si="0"/>
        <v>11889.36</v>
      </c>
      <c r="N8" s="308">
        <f t="shared" si="0"/>
        <v>35431.32</v>
      </c>
      <c r="O8" s="294">
        <f>SUM(K8:M8)</f>
        <v>35431.32</v>
      </c>
      <c r="P8" s="294" t="s">
        <v>253</v>
      </c>
      <c r="Q8" s="294">
        <f>SUM(Q6:Q7)</f>
        <v>174595.39499999999</v>
      </c>
      <c r="R8" s="294"/>
      <c r="S8" s="294">
        <f>+N6</f>
        <v>40376.32</v>
      </c>
      <c r="T8" s="294">
        <f>+N7</f>
        <v>-4945</v>
      </c>
      <c r="U8" s="295"/>
    </row>
    <row r="9" spans="1:21" ht="16.149999999999999" thickTop="1" x14ac:dyDescent="0.65">
      <c r="A9" s="294"/>
      <c r="B9" s="294"/>
      <c r="C9" s="309" t="s">
        <v>254</v>
      </c>
      <c r="D9" s="310">
        <f>D8*0.1</f>
        <v>1304.4000000000001</v>
      </c>
      <c r="E9" s="310">
        <f>E8*0.1</f>
        <v>1248.1000000000001</v>
      </c>
      <c r="F9" s="310">
        <f>F8*0.1</f>
        <v>1312.9</v>
      </c>
      <c r="G9" s="311">
        <f>SUM(D9:F9)</f>
        <v>3865.4</v>
      </c>
      <c r="H9" s="294">
        <f>SUM(D9:F9)</f>
        <v>3865.4</v>
      </c>
      <c r="I9" s="294"/>
      <c r="J9" s="294" t="s">
        <v>254</v>
      </c>
      <c r="K9" s="312">
        <f>K8*0.1</f>
        <v>1240.8360000000002</v>
      </c>
      <c r="L9" s="312">
        <f>L8*0.1</f>
        <v>1113.3600000000001</v>
      </c>
      <c r="M9" s="312">
        <f>M8*0.1</f>
        <v>1188.9360000000001</v>
      </c>
      <c r="N9" s="307">
        <f>SUM(K9:M9)</f>
        <v>3543.1320000000005</v>
      </c>
      <c r="O9" s="313"/>
      <c r="P9" s="314" t="s">
        <v>255</v>
      </c>
      <c r="Q9" s="307">
        <f>+G9+G24+N9+N22+N37</f>
        <v>17459.544500000004</v>
      </c>
      <c r="R9" s="294"/>
      <c r="S9" s="294">
        <f>+N21</f>
        <v>25970.25</v>
      </c>
      <c r="T9" s="294">
        <f>+N35</f>
        <v>-1742</v>
      </c>
      <c r="U9" s="295"/>
    </row>
    <row r="10" spans="1:21" ht="14.65" thickBot="1" x14ac:dyDescent="0.5">
      <c r="A10" s="294"/>
      <c r="B10" s="294"/>
      <c r="C10" s="294" t="s">
        <v>246</v>
      </c>
      <c r="D10" s="315">
        <f>D9+D8</f>
        <v>14348.4</v>
      </c>
      <c r="E10" s="315">
        <f>E9+E8</f>
        <v>13729.1</v>
      </c>
      <c r="F10" s="315">
        <f>F9+F8</f>
        <v>14441.9</v>
      </c>
      <c r="G10" s="316">
        <f>SUM(G8:G9)</f>
        <v>42519.4</v>
      </c>
      <c r="H10" s="294">
        <f>SUM(D10:F10)</f>
        <v>42519.4</v>
      </c>
      <c r="I10" s="294"/>
      <c r="J10" s="294" t="s">
        <v>246</v>
      </c>
      <c r="K10" s="308">
        <f>K9+K8</f>
        <v>13649.196</v>
      </c>
      <c r="L10" s="308">
        <f>L9+L8</f>
        <v>12246.960000000001</v>
      </c>
      <c r="M10" s="308">
        <f>M9+M8</f>
        <v>13078.296</v>
      </c>
      <c r="N10" s="317">
        <f>SUM(K10:M10)</f>
        <v>38974.452000000005</v>
      </c>
      <c r="O10" s="294">
        <f>SUM(K10:M10)</f>
        <v>38974.452000000005</v>
      </c>
      <c r="P10" s="294"/>
      <c r="Q10" s="317">
        <f>SUM(Q8:Q9)</f>
        <v>192054.93949999998</v>
      </c>
      <c r="R10" s="294"/>
      <c r="S10" s="307">
        <f>+N34</f>
        <v>48576.99</v>
      </c>
      <c r="T10" s="307"/>
      <c r="U10" s="295"/>
    </row>
    <row r="11" spans="1:21" ht="14.65" thickTop="1" x14ac:dyDescent="0.45">
      <c r="A11" s="294"/>
      <c r="B11" s="294"/>
      <c r="C11" s="294"/>
      <c r="D11" s="318"/>
      <c r="E11" s="318"/>
      <c r="F11" s="318"/>
      <c r="G11" s="294"/>
      <c r="H11" s="294"/>
      <c r="I11" s="294"/>
      <c r="J11" s="294"/>
      <c r="K11" s="318"/>
      <c r="L11" s="318"/>
      <c r="M11" s="318"/>
      <c r="N11" s="294"/>
      <c r="O11" s="294"/>
      <c r="P11" s="294"/>
      <c r="Q11" s="294" t="s">
        <v>0</v>
      </c>
      <c r="R11" s="294"/>
      <c r="S11" s="294">
        <f>SUM(S6:S10)</f>
        <v>199190.39499999999</v>
      </c>
      <c r="T11" s="294">
        <f>SUM(T6:T10)</f>
        <v>-24595</v>
      </c>
      <c r="U11" s="295"/>
    </row>
    <row r="12" spans="1:21" x14ac:dyDescent="0.45">
      <c r="A12" s="294"/>
      <c r="B12" s="294"/>
      <c r="C12" s="300" t="s">
        <v>256</v>
      </c>
      <c r="D12" s="318"/>
      <c r="E12" s="318"/>
      <c r="F12" s="318"/>
      <c r="G12" s="294"/>
      <c r="H12" s="294"/>
      <c r="I12" s="294"/>
      <c r="J12" s="300" t="s">
        <v>256</v>
      </c>
      <c r="K12" s="318"/>
      <c r="L12" s="318"/>
      <c r="M12" s="318"/>
      <c r="N12" s="294"/>
      <c r="O12" s="294"/>
      <c r="P12" s="294"/>
      <c r="Q12" s="294"/>
      <c r="R12" s="294"/>
      <c r="S12" s="294"/>
      <c r="T12" s="294"/>
      <c r="U12" s="295"/>
    </row>
    <row r="13" spans="1:21" x14ac:dyDescent="0.45">
      <c r="A13" s="294"/>
      <c r="B13" s="294"/>
      <c r="C13" s="294" t="s">
        <v>257</v>
      </c>
      <c r="D13" s="304">
        <f>D10-D14</f>
        <v>13044</v>
      </c>
      <c r="E13" s="304">
        <f>E10-E14</f>
        <v>12481</v>
      </c>
      <c r="F13" s="304">
        <f>F10-F14</f>
        <v>13129</v>
      </c>
      <c r="G13" s="319">
        <f>SUM(D13:F13)</f>
        <v>38654</v>
      </c>
      <c r="H13" s="294"/>
      <c r="I13" s="294"/>
      <c r="J13" s="294" t="s">
        <v>258</v>
      </c>
      <c r="K13" s="304">
        <f>+K8</f>
        <v>12408.36</v>
      </c>
      <c r="L13" s="304">
        <f>+L8</f>
        <v>11133.6</v>
      </c>
      <c r="M13" s="304">
        <f>+M8</f>
        <v>11889.36</v>
      </c>
      <c r="N13" s="320">
        <f>SUM(K13:M13)</f>
        <v>35431.32</v>
      </c>
      <c r="O13" s="294"/>
      <c r="P13" s="294"/>
      <c r="Q13" s="294"/>
      <c r="R13" s="294"/>
      <c r="S13" s="298" t="s">
        <v>259</v>
      </c>
      <c r="T13" s="298" t="s">
        <v>260</v>
      </c>
      <c r="U13" s="295"/>
    </row>
    <row r="14" spans="1:21" ht="17.25" x14ac:dyDescent="0.85">
      <c r="A14" s="294"/>
      <c r="B14" s="294"/>
      <c r="C14" s="294" t="s">
        <v>261</v>
      </c>
      <c r="D14" s="321">
        <f t="shared" ref="D14:F14" si="1">D9</f>
        <v>1304.4000000000001</v>
      </c>
      <c r="E14" s="321">
        <f t="shared" si="1"/>
        <v>1248.1000000000001</v>
      </c>
      <c r="F14" s="321">
        <f t="shared" si="1"/>
        <v>1312.9</v>
      </c>
      <c r="G14" s="322">
        <f>SUM(D14:F14)</f>
        <v>3865.4</v>
      </c>
      <c r="H14" s="294"/>
      <c r="I14" s="294"/>
      <c r="J14" s="294" t="s">
        <v>261</v>
      </c>
      <c r="K14" s="321">
        <f>+K9</f>
        <v>1240.8360000000002</v>
      </c>
      <c r="L14" s="321">
        <f t="shared" ref="L14:M14" si="2">+L9</f>
        <v>1113.3600000000001</v>
      </c>
      <c r="M14" s="321">
        <f t="shared" si="2"/>
        <v>1188.9360000000001</v>
      </c>
      <c r="N14" s="323">
        <f>SUM(K14:M14)</f>
        <v>3543.1320000000005</v>
      </c>
      <c r="O14" s="324"/>
      <c r="P14" s="294" t="s">
        <v>262</v>
      </c>
      <c r="Q14" s="319">
        <f>+G13+N13+N27+N41</f>
        <v>123777.038</v>
      </c>
      <c r="R14" s="294"/>
      <c r="S14" s="294">
        <f>+G13</f>
        <v>38654</v>
      </c>
      <c r="T14" s="294">
        <f>+G9</f>
        <v>3865.4</v>
      </c>
      <c r="U14" s="295"/>
    </row>
    <row r="15" spans="1:21" ht="14.65" thickBot="1" x14ac:dyDescent="0.5">
      <c r="A15" s="294"/>
      <c r="B15" s="294"/>
      <c r="C15" s="294" t="s">
        <v>246</v>
      </c>
      <c r="D15" s="315">
        <f>SUM(D13:D14)</f>
        <v>14348.4</v>
      </c>
      <c r="E15" s="315">
        <f t="shared" ref="E15:G15" si="3">SUM(E13:E14)</f>
        <v>13729.1</v>
      </c>
      <c r="F15" s="315">
        <f t="shared" si="3"/>
        <v>14441.9</v>
      </c>
      <c r="G15" s="315">
        <f t="shared" si="3"/>
        <v>42519.4</v>
      </c>
      <c r="H15" s="294">
        <f>SUM(D15:F15)</f>
        <v>42519.4</v>
      </c>
      <c r="I15" s="294"/>
      <c r="J15" s="294" t="s">
        <v>246</v>
      </c>
      <c r="K15" s="315">
        <f>SUM(K13:K14)</f>
        <v>13649.196</v>
      </c>
      <c r="L15" s="315">
        <f>SUM(L13:L14)</f>
        <v>12246.960000000001</v>
      </c>
      <c r="M15" s="315">
        <f>SUM(M13:M14)</f>
        <v>13078.296</v>
      </c>
      <c r="N15" s="315">
        <f>SUM(N13:N14)</f>
        <v>38974.451999999997</v>
      </c>
      <c r="O15" s="294">
        <f>SUM(K15:M15)</f>
        <v>38974.452000000005</v>
      </c>
      <c r="P15" s="325">
        <v>5307</v>
      </c>
      <c r="Q15" s="326">
        <f>+G29+N26</f>
        <v>38091.483250000005</v>
      </c>
      <c r="R15" s="294"/>
      <c r="S15" s="294">
        <f>+N13</f>
        <v>35431.32</v>
      </c>
      <c r="T15" s="294">
        <f>+G24</f>
        <v>2770.4835000000003</v>
      </c>
      <c r="U15" s="295"/>
    </row>
    <row r="16" spans="1:21" ht="28.15" thickTop="1" x14ac:dyDescent="0.45">
      <c r="A16" s="294"/>
      <c r="B16" s="294"/>
      <c r="C16" s="294"/>
      <c r="D16" s="318"/>
      <c r="E16" s="318"/>
      <c r="F16" s="318"/>
      <c r="G16" s="294"/>
      <c r="H16" s="294"/>
      <c r="I16" s="294"/>
      <c r="J16" s="294"/>
      <c r="K16" s="294"/>
      <c r="L16" s="294"/>
      <c r="M16" s="294"/>
      <c r="N16" s="294"/>
      <c r="O16" s="294"/>
      <c r="P16" s="314" t="s">
        <v>263</v>
      </c>
      <c r="Q16" s="327">
        <f>+G28</f>
        <v>7994.2349999999997</v>
      </c>
      <c r="R16" s="294"/>
      <c r="S16" s="294">
        <f>+N27</f>
        <v>2856.7280000000001</v>
      </c>
      <c r="T16" s="294">
        <f>+N9</f>
        <v>3543.1320000000005</v>
      </c>
      <c r="U16" s="295"/>
    </row>
    <row r="17" spans="1:21" x14ac:dyDescent="0.45">
      <c r="A17" s="294"/>
      <c r="B17" s="294"/>
      <c r="C17" s="294"/>
      <c r="D17" s="318"/>
      <c r="E17" s="318"/>
      <c r="F17" s="318"/>
      <c r="G17" s="294"/>
      <c r="H17" s="294"/>
      <c r="I17" s="294"/>
      <c r="J17" s="294"/>
      <c r="K17" s="294"/>
      <c r="L17" s="318"/>
      <c r="M17" s="318"/>
      <c r="N17" s="318"/>
      <c r="O17" s="294"/>
      <c r="P17" s="314" t="s">
        <v>264</v>
      </c>
      <c r="Q17" s="328">
        <f>+N43</f>
        <v>0</v>
      </c>
      <c r="R17" s="294"/>
      <c r="S17" s="294">
        <f>+N41</f>
        <v>46834.99</v>
      </c>
      <c r="T17" s="294">
        <f>+N22</f>
        <v>2597.0300000000002</v>
      </c>
      <c r="U17" s="295"/>
    </row>
    <row r="18" spans="1:21" x14ac:dyDescent="0.45">
      <c r="A18" s="294"/>
      <c r="B18" s="294"/>
      <c r="C18" s="294"/>
      <c r="D18" s="318"/>
      <c r="E18" s="318"/>
      <c r="F18" s="318"/>
      <c r="G18" s="294"/>
      <c r="H18" s="294"/>
      <c r="I18" s="294"/>
      <c r="J18" s="294"/>
      <c r="K18" s="294"/>
      <c r="L18" s="294"/>
      <c r="M18" s="294"/>
      <c r="N18" s="294"/>
      <c r="O18" s="294"/>
      <c r="P18" s="294" t="s">
        <v>60</v>
      </c>
      <c r="Q18" s="329">
        <f>+G14+G30+N14+N28+N42</f>
        <v>22192.183250000002</v>
      </c>
      <c r="R18" s="294"/>
      <c r="S18" s="294"/>
      <c r="T18" s="294">
        <f>+N37</f>
        <v>4683.4989999999998</v>
      </c>
      <c r="U18" s="295"/>
    </row>
    <row r="19" spans="1:21" x14ac:dyDescent="0.45">
      <c r="A19" s="294"/>
      <c r="B19" s="294"/>
      <c r="C19" s="294"/>
      <c r="D19" s="294"/>
      <c r="E19" s="294"/>
      <c r="F19" s="294"/>
      <c r="G19" s="298" t="str">
        <f>+G4</f>
        <v xml:space="preserve"> </v>
      </c>
      <c r="H19" s="294"/>
      <c r="I19" s="294"/>
      <c r="J19" s="294"/>
      <c r="K19" s="294"/>
      <c r="L19" s="294"/>
      <c r="M19" s="294"/>
      <c r="N19" s="298" t="str">
        <f>+G4</f>
        <v xml:space="preserve"> </v>
      </c>
      <c r="O19" s="298"/>
      <c r="P19" s="294" t="s">
        <v>265</v>
      </c>
      <c r="Q19" s="330">
        <v>0</v>
      </c>
      <c r="R19" s="294"/>
      <c r="S19" s="307"/>
      <c r="T19" s="307"/>
      <c r="U19" s="295"/>
    </row>
    <row r="20" spans="1:21" ht="28.5" thickBot="1" x14ac:dyDescent="0.5">
      <c r="A20" s="300" t="s">
        <v>266</v>
      </c>
      <c r="B20" s="300"/>
      <c r="C20" s="300" t="s">
        <v>242</v>
      </c>
      <c r="D20" s="301" t="str">
        <f>+D5</f>
        <v>April</v>
      </c>
      <c r="E20" s="301" t="str">
        <f>+E5</f>
        <v>May</v>
      </c>
      <c r="F20" s="301" t="str">
        <f>+F5</f>
        <v>June</v>
      </c>
      <c r="G20" s="301" t="s">
        <v>246</v>
      </c>
      <c r="H20" s="294"/>
      <c r="I20" s="331" t="s">
        <v>267</v>
      </c>
      <c r="J20" s="300" t="s">
        <v>242</v>
      </c>
      <c r="K20" s="301" t="str">
        <f>+D5</f>
        <v>April</v>
      </c>
      <c r="L20" s="301" t="str">
        <f>+E5</f>
        <v>May</v>
      </c>
      <c r="M20" s="301" t="str">
        <f>+F5</f>
        <v>June</v>
      </c>
      <c r="N20" s="301" t="s">
        <v>246</v>
      </c>
      <c r="O20" s="301"/>
      <c r="P20" s="294"/>
      <c r="Q20" s="317">
        <f>SUM(Q14:Q19)</f>
        <v>192054.93949999998</v>
      </c>
      <c r="R20" s="294"/>
      <c r="S20" s="294">
        <f>SUM(S14:S19)</f>
        <v>123777.038</v>
      </c>
      <c r="T20" s="294">
        <f>SUM(T14:T19)</f>
        <v>17459.544500000004</v>
      </c>
      <c r="U20" s="295"/>
    </row>
    <row r="21" spans="1:21" ht="14.65" thickTop="1" x14ac:dyDescent="0.45">
      <c r="A21" s="300" t="s">
        <v>268</v>
      </c>
      <c r="B21" s="300"/>
      <c r="C21" s="294" t="s">
        <v>251</v>
      </c>
      <c r="D21" s="294">
        <f>8544.24+5760</f>
        <v>14304.24</v>
      </c>
      <c r="E21" s="318">
        <v>15223.65</v>
      </c>
      <c r="F21" s="294">
        <f>(+E21+D21)/2</f>
        <v>14763.945</v>
      </c>
      <c r="G21" s="304">
        <f>SUM(D21:F21)</f>
        <v>44291.834999999999</v>
      </c>
      <c r="H21" s="294"/>
      <c r="I21" s="294"/>
      <c r="J21" s="294" t="s">
        <v>269</v>
      </c>
      <c r="K21" s="318">
        <v>8656.75</v>
      </c>
      <c r="L21" s="318">
        <v>8656.75</v>
      </c>
      <c r="M21" s="318">
        <v>8656.75</v>
      </c>
      <c r="N21" s="294">
        <f>SUM(K21:M21)</f>
        <v>25970.25</v>
      </c>
      <c r="O21" s="294"/>
      <c r="P21" s="294" t="s">
        <v>270</v>
      </c>
      <c r="Q21" s="294">
        <f>+Q10-Q20</f>
        <v>0</v>
      </c>
      <c r="R21" s="294"/>
      <c r="S21" s="294"/>
      <c r="T21" s="294"/>
      <c r="U21" s="295"/>
    </row>
    <row r="22" spans="1:21" x14ac:dyDescent="0.45">
      <c r="A22" s="294"/>
      <c r="B22" s="294"/>
      <c r="C22" s="294" t="s">
        <v>252</v>
      </c>
      <c r="D22" s="294">
        <v>-5760</v>
      </c>
      <c r="E22" s="318">
        <v>-5298</v>
      </c>
      <c r="F22" s="294">
        <f>(+D22+E22)/2</f>
        <v>-5529</v>
      </c>
      <c r="G22" s="304">
        <f>SUM(D22:F22)</f>
        <v>-16587</v>
      </c>
      <c r="H22" s="294"/>
      <c r="I22" s="294"/>
      <c r="J22" s="294" t="s">
        <v>254</v>
      </c>
      <c r="K22" s="312">
        <f>K21*10%</f>
        <v>865.67500000000007</v>
      </c>
      <c r="L22" s="312">
        <f t="shared" ref="L22" si="4">L21*0.1</f>
        <v>865.67500000000007</v>
      </c>
      <c r="M22" s="312">
        <v>865.68</v>
      </c>
      <c r="N22" s="307">
        <f>SUM(K22:M22)</f>
        <v>2597.0300000000002</v>
      </c>
      <c r="O22" s="294"/>
      <c r="P22" s="294"/>
      <c r="Q22" s="294"/>
      <c r="R22" s="294"/>
      <c r="S22" s="294"/>
      <c r="T22" s="294"/>
      <c r="U22" s="295"/>
    </row>
    <row r="23" spans="1:21" ht="14.65" thickBot="1" x14ac:dyDescent="0.5">
      <c r="A23" s="294"/>
      <c r="B23" s="294"/>
      <c r="C23" s="294" t="s">
        <v>253</v>
      </c>
      <c r="D23" s="308">
        <f>SUM(D21:D22)</f>
        <v>8544.24</v>
      </c>
      <c r="E23" s="308">
        <f t="shared" ref="E23:G23" si="5">SUM(E21:E22)</f>
        <v>9925.65</v>
      </c>
      <c r="F23" s="308">
        <f t="shared" si="5"/>
        <v>9234.9449999999997</v>
      </c>
      <c r="G23" s="308">
        <f t="shared" si="5"/>
        <v>27704.834999999999</v>
      </c>
      <c r="H23" s="294">
        <f>SUM(D23:F23)</f>
        <v>27704.834999999999</v>
      </c>
      <c r="I23" s="294" t="s">
        <v>0</v>
      </c>
      <c r="J23" s="294" t="s">
        <v>246</v>
      </c>
      <c r="K23" s="315">
        <f>SUM(K21:K22)</f>
        <v>9522.4249999999993</v>
      </c>
      <c r="L23" s="315">
        <f t="shared" ref="L23:N23" si="6">SUM(L21:L22)</f>
        <v>9522.4249999999993</v>
      </c>
      <c r="M23" s="315">
        <f t="shared" si="6"/>
        <v>9522.43</v>
      </c>
      <c r="N23" s="315">
        <f t="shared" si="6"/>
        <v>28567.279999999999</v>
      </c>
      <c r="O23" s="294">
        <f>SUM(K23:M23)</f>
        <v>28567.279999999999</v>
      </c>
      <c r="P23" s="294"/>
      <c r="Q23" s="294">
        <f>+Q14</f>
        <v>123777.038</v>
      </c>
      <c r="R23" s="294"/>
      <c r="S23" s="294"/>
      <c r="T23" s="294"/>
      <c r="U23" s="295"/>
    </row>
    <row r="24" spans="1:21" ht="14.65" thickTop="1" x14ac:dyDescent="0.45">
      <c r="A24" s="294"/>
      <c r="B24" s="294"/>
      <c r="C24" s="294" t="s">
        <v>254</v>
      </c>
      <c r="D24" s="312">
        <f>D23*0.1</f>
        <v>854.42399999999998</v>
      </c>
      <c r="E24" s="312">
        <f>E23*0.1</f>
        <v>992.56500000000005</v>
      </c>
      <c r="F24" s="312">
        <f>F23*0.1</f>
        <v>923.49450000000002</v>
      </c>
      <c r="G24" s="307">
        <f>SUM(D24:F24)</f>
        <v>2770.4835000000003</v>
      </c>
      <c r="H24" s="294"/>
      <c r="I24" s="294"/>
      <c r="J24" s="294"/>
      <c r="K24" s="318"/>
      <c r="L24" s="318"/>
      <c r="M24" s="318"/>
      <c r="N24" s="294" t="s">
        <v>0</v>
      </c>
      <c r="O24" s="294"/>
      <c r="P24" s="294"/>
      <c r="Q24" s="294">
        <f>+Q16</f>
        <v>7994.2349999999997</v>
      </c>
      <c r="R24" s="294"/>
      <c r="S24" s="294"/>
      <c r="T24" s="294"/>
      <c r="U24" s="295"/>
    </row>
    <row r="25" spans="1:21" ht="14.65" thickBot="1" x14ac:dyDescent="0.5">
      <c r="A25" s="294"/>
      <c r="B25" s="294"/>
      <c r="C25" s="294" t="s">
        <v>246</v>
      </c>
      <c r="D25" s="308">
        <f>D24+D23</f>
        <v>9398.6640000000007</v>
      </c>
      <c r="E25" s="308">
        <f t="shared" ref="E25:F25" si="7">E24+E23</f>
        <v>10918.215</v>
      </c>
      <c r="F25" s="308">
        <f t="shared" si="7"/>
        <v>10158.4395</v>
      </c>
      <c r="G25" s="308">
        <f>SUM(G23:G24)</f>
        <v>30475.318500000001</v>
      </c>
      <c r="H25" s="294">
        <f>SUM(D25:F25)</f>
        <v>30475.318500000001</v>
      </c>
      <c r="I25" s="294"/>
      <c r="J25" s="300" t="s">
        <v>256</v>
      </c>
      <c r="K25" s="318"/>
      <c r="L25" s="318"/>
      <c r="M25" s="318"/>
      <c r="N25" s="294" t="s">
        <v>0</v>
      </c>
      <c r="O25" s="294"/>
      <c r="P25" s="294"/>
      <c r="Q25" s="307">
        <f>+Q17</f>
        <v>0</v>
      </c>
      <c r="R25" s="294"/>
      <c r="S25" s="294"/>
      <c r="T25" s="294"/>
      <c r="U25" s="295"/>
    </row>
    <row r="26" spans="1:21" ht="14.65" thickTop="1" x14ac:dyDescent="0.45">
      <c r="A26" s="294"/>
      <c r="B26" s="294"/>
      <c r="C26" s="294"/>
      <c r="D26" s="318"/>
      <c r="E26" s="318"/>
      <c r="F26" s="318"/>
      <c r="G26" s="294"/>
      <c r="H26" s="294"/>
      <c r="I26" s="294"/>
      <c r="J26" s="294" t="s">
        <v>271</v>
      </c>
      <c r="K26" s="318">
        <f>K23*0.8</f>
        <v>7617.94</v>
      </c>
      <c r="L26" s="318">
        <f>L23*0.8</f>
        <v>7617.94</v>
      </c>
      <c r="M26" s="318">
        <f>M23*0.8</f>
        <v>7617.9440000000004</v>
      </c>
      <c r="N26" s="332">
        <f>SUM(K26:M26)</f>
        <v>22853.824000000001</v>
      </c>
      <c r="O26" s="294"/>
      <c r="P26" s="294"/>
      <c r="Q26" s="294">
        <f>SUM(Q23:Q25)</f>
        <v>131771.27299999999</v>
      </c>
      <c r="R26" s="294"/>
      <c r="S26" s="294"/>
      <c r="T26" s="294"/>
      <c r="U26" s="295"/>
    </row>
    <row r="27" spans="1:21" x14ac:dyDescent="0.45">
      <c r="A27" s="294"/>
      <c r="B27" s="294"/>
      <c r="C27" s="300" t="s">
        <v>256</v>
      </c>
      <c r="D27" s="318"/>
      <c r="E27" s="318"/>
      <c r="F27" s="318"/>
      <c r="G27" s="294"/>
      <c r="H27" s="294"/>
      <c r="I27" s="294"/>
      <c r="J27" s="294" t="s">
        <v>272</v>
      </c>
      <c r="K27" s="318">
        <f>K23*0.1</f>
        <v>952.24249999999995</v>
      </c>
      <c r="L27" s="318">
        <f>L23*0.1</f>
        <v>952.24249999999995</v>
      </c>
      <c r="M27" s="318">
        <f>M23*0.1</f>
        <v>952.24300000000005</v>
      </c>
      <c r="N27" s="319">
        <f>SUM(K27:M27)</f>
        <v>2856.7280000000001</v>
      </c>
      <c r="O27" s="294"/>
      <c r="P27" s="294"/>
      <c r="Q27" s="294"/>
      <c r="R27" s="294"/>
      <c r="S27" s="294"/>
      <c r="T27" s="294"/>
      <c r="U27" s="295"/>
    </row>
    <row r="28" spans="1:21" ht="27" x14ac:dyDescent="0.85">
      <c r="A28" s="333" t="s">
        <v>273</v>
      </c>
      <c r="B28" s="333"/>
      <c r="C28" s="334" t="s">
        <v>274</v>
      </c>
      <c r="D28" s="318">
        <v>2848.08</v>
      </c>
      <c r="E28" s="318">
        <v>2481.41</v>
      </c>
      <c r="F28" s="318">
        <f>+(D28+E28)/2</f>
        <v>2664.7449999999999</v>
      </c>
      <c r="G28" s="335">
        <f>SUM(D28:F28)</f>
        <v>7994.2349999999997</v>
      </c>
      <c r="H28" s="294"/>
      <c r="I28" s="294"/>
      <c r="J28" s="294" t="s">
        <v>261</v>
      </c>
      <c r="K28" s="312">
        <f>K23-K26-K27</f>
        <v>952.24249999999972</v>
      </c>
      <c r="L28" s="312">
        <f>L23-L26-L27</f>
        <v>952.24249999999972</v>
      </c>
      <c r="M28" s="312">
        <f>M23-M26-M27</f>
        <v>952.24299999999982</v>
      </c>
      <c r="N28" s="322">
        <f t="shared" ref="N28" si="8">SUM(K28:M28)</f>
        <v>2856.7279999999992</v>
      </c>
      <c r="O28" s="336"/>
      <c r="P28" s="294"/>
      <c r="Q28" s="294"/>
      <c r="R28" s="294"/>
      <c r="S28" s="294"/>
      <c r="T28" s="294"/>
      <c r="U28" s="295"/>
    </row>
    <row r="29" spans="1:21" ht="14.65" thickBot="1" x14ac:dyDescent="0.5">
      <c r="A29" s="294"/>
      <c r="B29" s="294"/>
      <c r="C29" s="294" t="s">
        <v>275</v>
      </c>
      <c r="D29" s="318">
        <f>D25*50%</f>
        <v>4699.3320000000003</v>
      </c>
      <c r="E29" s="318">
        <f>E25*50%</f>
        <v>5459.1075000000001</v>
      </c>
      <c r="F29" s="318">
        <f t="shared" ref="F29" si="9">F25*50%</f>
        <v>5079.2197500000002</v>
      </c>
      <c r="G29" s="337">
        <f>SUM(D29:F29)</f>
        <v>15237.659250000001</v>
      </c>
      <c r="H29" s="294"/>
      <c r="I29" s="294"/>
      <c r="J29" s="294" t="s">
        <v>246</v>
      </c>
      <c r="K29" s="315">
        <f>SUM(K26:K28)</f>
        <v>9522.4249999999993</v>
      </c>
      <c r="L29" s="315">
        <f t="shared" ref="L29:N29" si="10">SUM(L26:L28)</f>
        <v>9522.4249999999993</v>
      </c>
      <c r="M29" s="315">
        <f t="shared" si="10"/>
        <v>9522.43</v>
      </c>
      <c r="N29" s="315">
        <f t="shared" si="10"/>
        <v>28567.279999999999</v>
      </c>
      <c r="O29" s="294">
        <f>SUM(K29:M29)</f>
        <v>28567.279999999999</v>
      </c>
      <c r="P29" s="294"/>
      <c r="Q29" s="294"/>
      <c r="R29" s="294"/>
      <c r="S29" s="294"/>
      <c r="T29" s="294"/>
      <c r="U29" s="295"/>
    </row>
    <row r="30" spans="1:21" ht="14.65" thickTop="1" x14ac:dyDescent="0.45">
      <c r="A30" s="294"/>
      <c r="B30" s="294"/>
      <c r="C30" s="294" t="s">
        <v>276</v>
      </c>
      <c r="D30" s="312">
        <f>+D25-D28-D29</f>
        <v>1851.2520000000004</v>
      </c>
      <c r="E30" s="312">
        <f t="shared" ref="E30:F30" si="11">+E25-E28-E29</f>
        <v>2977.6975000000002</v>
      </c>
      <c r="F30" s="312">
        <f t="shared" si="11"/>
        <v>2414.4747500000003</v>
      </c>
      <c r="G30" s="323">
        <f>SUM(D30:F30)</f>
        <v>7243.4242500000009</v>
      </c>
      <c r="H30" s="294"/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5"/>
    </row>
    <row r="31" spans="1:21" ht="14.65" thickBot="1" x14ac:dyDescent="0.5">
      <c r="A31" s="294"/>
      <c r="B31" s="294"/>
      <c r="C31" s="294" t="s">
        <v>246</v>
      </c>
      <c r="D31" s="315">
        <f>SUM(D28:D30)</f>
        <v>9398.6640000000007</v>
      </c>
      <c r="E31" s="315">
        <f t="shared" ref="E31:G31" si="12">SUM(E28:E30)</f>
        <v>10918.215</v>
      </c>
      <c r="F31" s="315">
        <f t="shared" si="12"/>
        <v>10158.4395</v>
      </c>
      <c r="G31" s="315">
        <f t="shared" si="12"/>
        <v>30475.318500000001</v>
      </c>
      <c r="H31" s="294">
        <f>SUM(D31:F31)</f>
        <v>30475.318500000001</v>
      </c>
      <c r="I31" s="294"/>
      <c r="J31" s="294"/>
      <c r="K31" s="318"/>
      <c r="L31" s="318"/>
      <c r="M31" s="318"/>
      <c r="N31" s="294"/>
      <c r="O31" s="294"/>
      <c r="P31" s="294"/>
      <c r="Q31" s="294"/>
      <c r="R31" s="294"/>
      <c r="S31" s="294"/>
      <c r="T31" s="294"/>
      <c r="U31" s="295"/>
    </row>
    <row r="32" spans="1:21" ht="14.65" thickTop="1" x14ac:dyDescent="0.45">
      <c r="A32" s="294"/>
      <c r="B32" s="294"/>
      <c r="C32" s="294"/>
      <c r="D32" s="318"/>
      <c r="E32" s="318"/>
      <c r="F32" s="318"/>
      <c r="G32" s="294"/>
      <c r="H32" s="294" t="s">
        <v>0</v>
      </c>
      <c r="I32" s="294"/>
      <c r="J32" s="294"/>
      <c r="K32" s="294"/>
      <c r="L32" s="294"/>
      <c r="M32" s="294"/>
      <c r="N32" s="294" t="s">
        <v>0</v>
      </c>
      <c r="O32" s="294"/>
      <c r="P32" s="294"/>
      <c r="Q32" s="294"/>
      <c r="R32" s="294"/>
      <c r="S32" s="294"/>
      <c r="T32" s="294"/>
      <c r="U32" s="295"/>
    </row>
    <row r="33" spans="1:21" x14ac:dyDescent="0.45">
      <c r="A33" s="294"/>
      <c r="B33" s="294"/>
      <c r="C33" s="294"/>
      <c r="D33" s="318"/>
      <c r="E33" s="318"/>
      <c r="F33" s="318"/>
      <c r="G33" s="294"/>
      <c r="H33" s="294"/>
      <c r="I33" s="338" t="s">
        <v>96</v>
      </c>
      <c r="J33" s="338"/>
      <c r="K33" s="301" t="str">
        <f>+D5</f>
        <v>April</v>
      </c>
      <c r="L33" s="301" t="s">
        <v>244</v>
      </c>
      <c r="M33" s="301" t="s">
        <v>245</v>
      </c>
      <c r="N33" s="301" t="s">
        <v>246</v>
      </c>
      <c r="O33" s="294"/>
      <c r="P33" s="294"/>
      <c r="Q33" s="294"/>
      <c r="R33" s="294"/>
      <c r="S33" s="294"/>
      <c r="T33" s="294"/>
      <c r="U33" s="295"/>
    </row>
    <row r="34" spans="1:21" x14ac:dyDescent="0.45">
      <c r="A34" s="294"/>
      <c r="B34" s="294"/>
      <c r="C34" s="294"/>
      <c r="D34" s="318"/>
      <c r="E34" s="318" t="s">
        <v>0</v>
      </c>
      <c r="F34" s="318"/>
      <c r="G34" s="294"/>
      <c r="H34" s="294"/>
      <c r="I34" s="547" t="s">
        <v>250</v>
      </c>
      <c r="J34" s="294" t="s">
        <v>251</v>
      </c>
      <c r="K34" s="304">
        <v>16402.62</v>
      </c>
      <c r="L34" s="304">
        <v>15771.75</v>
      </c>
      <c r="M34" s="304">
        <v>16402.62</v>
      </c>
      <c r="N34" s="304">
        <f>SUM(K34:M34)</f>
        <v>48576.99</v>
      </c>
      <c r="O34" s="294"/>
      <c r="P34" s="294"/>
      <c r="Q34" s="294"/>
      <c r="R34" s="294"/>
      <c r="S34" s="294"/>
      <c r="T34" s="294"/>
      <c r="U34" s="295"/>
    </row>
    <row r="35" spans="1:21" x14ac:dyDescent="0.45">
      <c r="A35" s="294"/>
      <c r="B35" s="294"/>
      <c r="C35" s="294"/>
      <c r="D35" s="318"/>
      <c r="E35" s="318" t="s">
        <v>0</v>
      </c>
      <c r="F35" s="318"/>
      <c r="G35" s="294"/>
      <c r="H35" s="294"/>
      <c r="I35" s="547"/>
      <c r="J35" s="294" t="s">
        <v>252</v>
      </c>
      <c r="K35" s="306">
        <v>-565</v>
      </c>
      <c r="L35" s="306">
        <v>-625</v>
      </c>
      <c r="M35" s="306">
        <v>-552</v>
      </c>
      <c r="N35" s="306">
        <f>SUM(K35:M35)</f>
        <v>-1742</v>
      </c>
      <c r="O35" s="294"/>
      <c r="P35" s="294"/>
      <c r="Q35" s="294"/>
      <c r="R35" s="294"/>
      <c r="S35" s="294"/>
      <c r="T35" s="294"/>
      <c r="U35" s="295"/>
    </row>
    <row r="36" spans="1:21" ht="14.65" thickBot="1" x14ac:dyDescent="0.5">
      <c r="A36" s="294"/>
      <c r="B36" s="294"/>
      <c r="C36" s="294"/>
      <c r="D36" s="318"/>
      <c r="E36" s="318" t="s">
        <v>0</v>
      </c>
      <c r="F36" s="318"/>
      <c r="G36" s="294" t="s">
        <v>0</v>
      </c>
      <c r="H36" s="294"/>
      <c r="I36" s="547"/>
      <c r="J36" s="294" t="s">
        <v>253</v>
      </c>
      <c r="K36" s="308">
        <f>SUM(K34:K35)</f>
        <v>15837.619999999999</v>
      </c>
      <c r="L36" s="308">
        <f t="shared" ref="L36:N36" si="13">SUM(L34:L35)</f>
        <v>15146.75</v>
      </c>
      <c r="M36" s="308">
        <f t="shared" si="13"/>
        <v>15850.619999999999</v>
      </c>
      <c r="N36" s="308">
        <f t="shared" si="13"/>
        <v>46834.99</v>
      </c>
      <c r="O36" s="294">
        <f>SUM(K36:M36)</f>
        <v>46834.99</v>
      </c>
      <c r="P36" s="294"/>
      <c r="Q36" s="294"/>
      <c r="R36" s="294"/>
      <c r="S36" s="294"/>
      <c r="T36" s="294"/>
      <c r="U36" s="295"/>
    </row>
    <row r="37" spans="1:21" ht="14.65" thickTop="1" x14ac:dyDescent="0.45">
      <c r="A37" s="294"/>
      <c r="B37" s="294"/>
      <c r="C37" s="294"/>
      <c r="D37" s="318"/>
      <c r="E37" s="318" t="s">
        <v>0</v>
      </c>
      <c r="F37" s="318"/>
      <c r="G37" s="294"/>
      <c r="H37" s="294"/>
      <c r="I37" s="294"/>
      <c r="J37" s="294" t="s">
        <v>254</v>
      </c>
      <c r="K37" s="312">
        <f>K36*0.1</f>
        <v>1583.7619999999999</v>
      </c>
      <c r="L37" s="312">
        <f>L36*0.1</f>
        <v>1514.6750000000002</v>
      </c>
      <c r="M37" s="312">
        <f>M36*0.1</f>
        <v>1585.0619999999999</v>
      </c>
      <c r="N37" s="307">
        <f>SUM(K37:M37)</f>
        <v>4683.4989999999998</v>
      </c>
      <c r="O37" s="294"/>
      <c r="P37" s="294"/>
      <c r="Q37" s="294"/>
      <c r="R37" s="294"/>
      <c r="S37" s="294"/>
      <c r="T37" s="294"/>
      <c r="U37" s="295"/>
    </row>
    <row r="38" spans="1:21" ht="14.65" thickBot="1" x14ac:dyDescent="0.5">
      <c r="A38" s="294"/>
      <c r="B38" s="294"/>
      <c r="C38" s="294"/>
      <c r="D38" s="318"/>
      <c r="E38" s="318" t="s">
        <v>0</v>
      </c>
      <c r="F38" s="318"/>
      <c r="G38" s="294"/>
      <c r="H38" s="294"/>
      <c r="I38" s="294"/>
      <c r="J38" s="294" t="s">
        <v>246</v>
      </c>
      <c r="K38" s="308">
        <f>SUM(K36:K37)</f>
        <v>17421.381999999998</v>
      </c>
      <c r="L38" s="308">
        <f t="shared" ref="L38:N38" si="14">SUM(L36:L37)</f>
        <v>16661.424999999999</v>
      </c>
      <c r="M38" s="308">
        <f t="shared" si="14"/>
        <v>17435.682000000001</v>
      </c>
      <c r="N38" s="308">
        <f t="shared" si="14"/>
        <v>51518.489000000001</v>
      </c>
      <c r="O38" s="294">
        <f>SUM(K38:M38)</f>
        <v>51518.489000000001</v>
      </c>
      <c r="P38" s="294"/>
      <c r="Q38" s="294"/>
      <c r="R38" s="294"/>
      <c r="S38" s="294"/>
      <c r="T38" s="294"/>
      <c r="U38" s="295"/>
    </row>
    <row r="39" spans="1:21" ht="14.65" thickTop="1" x14ac:dyDescent="0.45">
      <c r="A39" s="294"/>
      <c r="B39" s="294"/>
      <c r="C39" s="294"/>
      <c r="D39" s="318"/>
      <c r="E39" s="339" t="s">
        <v>0</v>
      </c>
      <c r="F39" s="318"/>
      <c r="G39" s="294"/>
      <c r="H39" s="294"/>
      <c r="I39" s="294"/>
      <c r="J39" s="294"/>
      <c r="K39" s="318"/>
      <c r="L39" s="318"/>
      <c r="M39" s="318"/>
      <c r="N39" s="294"/>
      <c r="O39" s="294"/>
      <c r="P39" s="294"/>
      <c r="Q39" s="294"/>
      <c r="R39" s="294"/>
      <c r="S39" s="294"/>
      <c r="T39" s="294"/>
      <c r="U39" s="295"/>
    </row>
    <row r="40" spans="1:21" x14ac:dyDescent="0.45">
      <c r="A40" s="294"/>
      <c r="B40" s="294"/>
      <c r="C40" s="294"/>
      <c r="D40" s="318"/>
      <c r="E40" s="339" t="s">
        <v>0</v>
      </c>
      <c r="F40" s="318"/>
      <c r="G40" s="294"/>
      <c r="H40" s="294"/>
      <c r="I40" s="294"/>
      <c r="J40" s="300" t="s">
        <v>256</v>
      </c>
      <c r="K40" s="318"/>
      <c r="L40" s="318"/>
      <c r="M40" s="318"/>
      <c r="N40" s="294"/>
      <c r="O40" s="294"/>
      <c r="P40" s="294"/>
      <c r="Q40" s="294"/>
      <c r="R40" s="294"/>
      <c r="S40" s="294"/>
      <c r="T40" s="294"/>
      <c r="U40" s="295"/>
    </row>
    <row r="41" spans="1:21" x14ac:dyDescent="0.45">
      <c r="A41" s="294"/>
      <c r="B41" s="294"/>
      <c r="C41" s="294"/>
      <c r="D41" s="318"/>
      <c r="E41" s="339" t="s">
        <v>0</v>
      </c>
      <c r="F41" s="318"/>
      <c r="G41" s="294"/>
      <c r="H41" s="294"/>
      <c r="I41" s="294"/>
      <c r="J41" s="294" t="s">
        <v>96</v>
      </c>
      <c r="K41" s="318">
        <f>+K38-K42</f>
        <v>15837.619999999997</v>
      </c>
      <c r="L41" s="318">
        <f t="shared" ref="L41:M41" si="15">+L38-L42</f>
        <v>15146.75</v>
      </c>
      <c r="M41" s="318">
        <f t="shared" si="15"/>
        <v>15850.62</v>
      </c>
      <c r="N41" s="340">
        <f>SUM(K41:M41)</f>
        <v>46834.99</v>
      </c>
      <c r="O41" s="294"/>
      <c r="P41" s="294"/>
      <c r="Q41" s="294"/>
      <c r="R41" s="294"/>
      <c r="S41" s="294"/>
      <c r="T41" s="294"/>
      <c r="U41" s="295"/>
    </row>
    <row r="42" spans="1:21" x14ac:dyDescent="0.45">
      <c r="A42" s="294"/>
      <c r="B42" s="294"/>
      <c r="C42" s="294"/>
      <c r="D42" s="318"/>
      <c r="E42" s="339" t="s">
        <v>0</v>
      </c>
      <c r="F42" s="318"/>
      <c r="G42" s="294"/>
      <c r="H42" s="294"/>
      <c r="I42" s="294"/>
      <c r="J42" s="294" t="s">
        <v>261</v>
      </c>
      <c r="K42" s="304">
        <f>K36*10%</f>
        <v>1583.7619999999999</v>
      </c>
      <c r="L42" s="304">
        <f t="shared" ref="L42:M42" si="16">L36*10%</f>
        <v>1514.6750000000002</v>
      </c>
      <c r="M42" s="304">
        <f t="shared" si="16"/>
        <v>1585.0619999999999</v>
      </c>
      <c r="N42" s="341">
        <f>SUM(K42:M42)</f>
        <v>4683.4989999999998</v>
      </c>
      <c r="O42" s="294"/>
      <c r="P42" s="294" t="s">
        <v>0</v>
      </c>
      <c r="Q42" s="294"/>
      <c r="R42" s="294"/>
      <c r="S42" s="294"/>
      <c r="T42" s="294"/>
      <c r="U42" s="295"/>
    </row>
    <row r="43" spans="1:21" x14ac:dyDescent="0.45">
      <c r="A43" s="294"/>
      <c r="B43" s="294"/>
      <c r="C43" s="294"/>
      <c r="D43" s="318"/>
      <c r="E43" s="339" t="s">
        <v>0</v>
      </c>
      <c r="F43" s="318"/>
      <c r="G43" s="294"/>
      <c r="H43" s="294"/>
      <c r="I43" s="294"/>
      <c r="J43" s="294" t="s">
        <v>0</v>
      </c>
      <c r="K43" s="312">
        <v>0</v>
      </c>
      <c r="L43" s="312">
        <v>0</v>
      </c>
      <c r="M43" s="312">
        <v>0</v>
      </c>
      <c r="N43" s="342">
        <f>SUM(K43:M43)</f>
        <v>0</v>
      </c>
      <c r="O43" s="294"/>
      <c r="P43" s="294"/>
      <c r="Q43" s="294"/>
      <c r="R43" s="294"/>
      <c r="S43" s="294"/>
      <c r="T43" s="294"/>
      <c r="U43" s="295"/>
    </row>
    <row r="44" spans="1:21" ht="14.65" thickBot="1" x14ac:dyDescent="0.5">
      <c r="A44" s="294"/>
      <c r="B44" s="294"/>
      <c r="C44" s="294"/>
      <c r="D44" s="318"/>
      <c r="E44" s="339" t="s">
        <v>0</v>
      </c>
      <c r="F44" s="318"/>
      <c r="G44" s="294"/>
      <c r="H44" s="294"/>
      <c r="I44" s="294"/>
      <c r="J44" s="294" t="s">
        <v>246</v>
      </c>
      <c r="K44" s="308">
        <f>SUM(K41:K43)</f>
        <v>17421.381999999998</v>
      </c>
      <c r="L44" s="308">
        <f>SUM(L41:L43)</f>
        <v>16661.424999999999</v>
      </c>
      <c r="M44" s="308">
        <f>SUM(M41:M43)</f>
        <v>17435.682000000001</v>
      </c>
      <c r="N44" s="308">
        <f>SUM(N41:N43)</f>
        <v>51518.489000000001</v>
      </c>
      <c r="O44" s="294">
        <f>SUM(K44:M44)</f>
        <v>51518.489000000001</v>
      </c>
      <c r="P44" s="294"/>
      <c r="Q44" s="294"/>
      <c r="R44" s="294"/>
      <c r="S44" s="294"/>
      <c r="T44" s="294"/>
      <c r="U44" s="295"/>
    </row>
    <row r="45" spans="1:21" ht="14.65" thickTop="1" x14ac:dyDescent="0.45">
      <c r="A45" s="294"/>
      <c r="B45" s="294"/>
      <c r="C45" s="294"/>
      <c r="D45" s="294"/>
      <c r="E45" s="294" t="s">
        <v>0</v>
      </c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5"/>
    </row>
    <row r="46" spans="1:21" x14ac:dyDescent="0.45">
      <c r="A46" s="294"/>
      <c r="B46" s="294"/>
      <c r="C46" s="294"/>
      <c r="D46" s="294"/>
      <c r="E46" s="294" t="s">
        <v>0</v>
      </c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5"/>
    </row>
    <row r="47" spans="1:21" x14ac:dyDescent="0.45">
      <c r="A47" s="294"/>
      <c r="B47" s="294"/>
      <c r="C47" s="294"/>
      <c r="D47" s="294"/>
      <c r="E47" s="294"/>
      <c r="F47" s="294"/>
      <c r="G47" s="294"/>
      <c r="H47" s="294"/>
      <c r="I47" s="294"/>
      <c r="J47" s="294"/>
      <c r="K47" s="318"/>
      <c r="L47" s="318"/>
      <c r="M47" s="318"/>
      <c r="N47" s="294"/>
      <c r="O47" s="294"/>
      <c r="P47" s="294"/>
      <c r="Q47" s="294"/>
      <c r="R47" s="294"/>
      <c r="S47" s="294"/>
      <c r="T47" s="294"/>
      <c r="U47" s="295"/>
    </row>
    <row r="48" spans="1:21" x14ac:dyDescent="0.45">
      <c r="A48" s="294"/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5"/>
    </row>
  </sheetData>
  <mergeCells count="3">
    <mergeCell ref="A6:A8"/>
    <mergeCell ref="I6:I8"/>
    <mergeCell ref="I34:I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8FD4-3F42-40C3-889B-B4EB1F39C27A}">
  <dimension ref="A1:T116"/>
  <sheetViews>
    <sheetView workbookViewId="0">
      <selection activeCell="D31" sqref="D31"/>
    </sheetView>
  </sheetViews>
  <sheetFormatPr defaultColWidth="8.86328125" defaultRowHeight="14.25" x14ac:dyDescent="0.45"/>
  <cols>
    <col min="1" max="1" width="21.1328125" customWidth="1"/>
    <col min="2" max="2" width="54.33203125" customWidth="1"/>
    <col min="3" max="3" width="12.9296875" customWidth="1"/>
    <col min="4" max="4" width="26.06640625" customWidth="1"/>
    <col min="5" max="5" width="12.59765625" customWidth="1"/>
    <col min="6" max="6" width="13" style="1" customWidth="1"/>
    <col min="7" max="8" width="12.3984375" customWidth="1"/>
    <col min="9" max="10" width="10.73046875" customWidth="1"/>
    <col min="11" max="11" width="15.19921875" customWidth="1"/>
    <col min="12" max="12" width="14.1328125" style="2" bestFit="1" customWidth="1"/>
    <col min="13" max="13" width="12.73046875" bestFit="1" customWidth="1"/>
    <col min="14" max="14" width="10.86328125" style="3" customWidth="1"/>
    <col min="15" max="15" width="18.3984375" style="3" bestFit="1" customWidth="1"/>
    <col min="16" max="16" width="18.3984375" style="3" customWidth="1"/>
    <col min="17" max="18" width="10.86328125" style="3" customWidth="1"/>
    <col min="19" max="19" width="11" style="3" bestFit="1" customWidth="1"/>
    <col min="20" max="20" width="8.86328125" style="4"/>
  </cols>
  <sheetData>
    <row r="1" spans="1:20" x14ac:dyDescent="0.45">
      <c r="B1" t="s">
        <v>0</v>
      </c>
    </row>
    <row r="2" spans="1:20" x14ac:dyDescent="0.45">
      <c r="B2" s="5" t="s">
        <v>1</v>
      </c>
    </row>
    <row r="3" spans="1:20" x14ac:dyDescent="0.45">
      <c r="H3" s="6">
        <v>0.06</v>
      </c>
      <c r="I3" t="s">
        <v>2</v>
      </c>
      <c r="J3" s="7">
        <v>7000</v>
      </c>
    </row>
    <row r="4" spans="1:20" x14ac:dyDescent="0.45">
      <c r="F4" s="1">
        <v>1.03</v>
      </c>
      <c r="H4" s="8">
        <v>3.1300000000000001E-2</v>
      </c>
      <c r="I4" t="s">
        <v>3</v>
      </c>
      <c r="J4" s="7">
        <v>9000</v>
      </c>
      <c r="L4" s="2" t="s">
        <v>0</v>
      </c>
    </row>
    <row r="5" spans="1:20" x14ac:dyDescent="0.45">
      <c r="F5" s="9" t="s">
        <v>4</v>
      </c>
      <c r="L5" s="9"/>
      <c r="P5" s="10"/>
      <c r="Q5" s="10"/>
      <c r="R5" s="10"/>
      <c r="S5" s="10"/>
      <c r="T5" s="11"/>
    </row>
    <row r="6" spans="1:20" ht="21" x14ac:dyDescent="0.65">
      <c r="B6" s="12" t="s">
        <v>5</v>
      </c>
      <c r="C6" s="12"/>
      <c r="F6" s="3"/>
      <c r="I6" s="13" t="s">
        <v>0</v>
      </c>
      <c r="L6" s="14" t="s">
        <v>6</v>
      </c>
    </row>
    <row r="7" spans="1:20" x14ac:dyDescent="0.45">
      <c r="D7" s="15"/>
      <c r="E7" s="15"/>
      <c r="F7" s="16"/>
      <c r="L7" s="17" t="s">
        <v>7</v>
      </c>
      <c r="R7" s="18"/>
      <c r="S7" s="18"/>
    </row>
    <row r="8" spans="1:20" ht="26.65" x14ac:dyDescent="0.45">
      <c r="C8" t="s">
        <v>8</v>
      </c>
      <c r="D8" s="19" t="s">
        <v>9</v>
      </c>
      <c r="E8" s="20" t="s">
        <v>10</v>
      </c>
      <c r="F8" s="21" t="s">
        <v>11</v>
      </c>
      <c r="G8" s="22">
        <v>7.6499999999999999E-2</v>
      </c>
      <c r="H8" s="22">
        <v>0.14199999999999999</v>
      </c>
      <c r="I8" s="22" t="s">
        <v>0</v>
      </c>
      <c r="J8" s="23">
        <v>2.0999999999999999E-3</v>
      </c>
      <c r="K8" s="24" t="s">
        <v>12</v>
      </c>
      <c r="L8" s="17" t="s">
        <v>13</v>
      </c>
    </row>
    <row r="9" spans="1:20" x14ac:dyDescent="0.45">
      <c r="C9" s="25" t="s">
        <v>0</v>
      </c>
      <c r="D9" s="25" t="s">
        <v>0</v>
      </c>
      <c r="E9" s="25"/>
      <c r="F9" s="26" t="s">
        <v>14</v>
      </c>
      <c r="G9" s="27" t="s">
        <v>15</v>
      </c>
      <c r="H9" s="27" t="s">
        <v>16</v>
      </c>
      <c r="I9" s="28" t="s">
        <v>17</v>
      </c>
      <c r="J9" s="29" t="s">
        <v>18</v>
      </c>
      <c r="K9" s="30" t="s">
        <v>19</v>
      </c>
      <c r="L9" s="31" t="s">
        <v>19</v>
      </c>
      <c r="M9" s="32" t="s">
        <v>20</v>
      </c>
      <c r="T9" s="33"/>
    </row>
    <row r="10" spans="1:20" x14ac:dyDescent="0.45">
      <c r="B10" s="34" t="s">
        <v>21</v>
      </c>
      <c r="C10" s="1"/>
      <c r="D10" s="35"/>
      <c r="E10" s="3"/>
      <c r="F10" s="36"/>
      <c r="G10" s="37"/>
      <c r="H10" s="37"/>
      <c r="I10" s="37"/>
      <c r="J10" s="37"/>
      <c r="K10" s="38"/>
      <c r="L10" s="36"/>
      <c r="M10" s="3"/>
      <c r="T10" s="33"/>
    </row>
    <row r="11" spans="1:20" s="40" customFormat="1" x14ac:dyDescent="0.45">
      <c r="A11" s="39" t="s">
        <v>22</v>
      </c>
      <c r="B11" s="40" t="s">
        <v>23</v>
      </c>
      <c r="C11" s="41" t="s">
        <v>0</v>
      </c>
      <c r="D11" s="42">
        <v>120000</v>
      </c>
      <c r="E11" s="43"/>
      <c r="F11" s="44">
        <f>+D11</f>
        <v>120000</v>
      </c>
      <c r="G11" s="45">
        <v>0</v>
      </c>
      <c r="H11" s="45">
        <v>0</v>
      </c>
      <c r="I11" s="45">
        <v>0</v>
      </c>
      <c r="J11" s="45">
        <v>0</v>
      </c>
      <c r="K11" s="46">
        <v>0</v>
      </c>
      <c r="L11" s="44">
        <f>(K11*15%)+K11</f>
        <v>0</v>
      </c>
      <c r="M11" s="43">
        <f>+F11</f>
        <v>120000</v>
      </c>
      <c r="N11" s="47"/>
      <c r="O11" s="47"/>
      <c r="P11" s="47"/>
      <c r="Q11" s="47"/>
      <c r="R11" s="47"/>
      <c r="S11" s="47"/>
      <c r="T11" s="48"/>
    </row>
    <row r="12" spans="1:20" s="40" customFormat="1" x14ac:dyDescent="0.45">
      <c r="A12" s="49"/>
      <c r="B12" s="50" t="s">
        <v>24</v>
      </c>
      <c r="C12" s="41" t="s">
        <v>0</v>
      </c>
      <c r="D12" s="42">
        <v>0</v>
      </c>
      <c r="E12" s="43"/>
      <c r="F12" s="44">
        <f>D12*$F$4</f>
        <v>0</v>
      </c>
      <c r="G12" s="45">
        <f t="shared" ref="G12:G19" si="0">SUM($F12)*$G$8</f>
        <v>0</v>
      </c>
      <c r="H12" s="45">
        <f t="shared" ref="H12:H19" si="1">SUM($F12)*H$8</f>
        <v>0</v>
      </c>
      <c r="I12" s="45">
        <v>0</v>
      </c>
      <c r="J12" s="45">
        <f t="shared" ref="J12:J19" si="2">F12*$J$8</f>
        <v>0</v>
      </c>
      <c r="K12" s="46">
        <v>0</v>
      </c>
      <c r="L12" s="44">
        <f t="shared" ref="L12" si="3">(K12*15%)+K12</f>
        <v>0</v>
      </c>
      <c r="M12" s="43">
        <f t="shared" ref="M12:M20" si="4">+F12+G12+H12+I12+J12+L12</f>
        <v>0</v>
      </c>
      <c r="N12" s="47"/>
      <c r="O12" s="47"/>
      <c r="P12" s="47"/>
      <c r="Q12" s="47"/>
      <c r="R12" s="47"/>
      <c r="S12" s="47"/>
      <c r="T12" s="48"/>
    </row>
    <row r="13" spans="1:20" x14ac:dyDescent="0.45">
      <c r="A13" s="51" t="s">
        <v>25</v>
      </c>
      <c r="B13" t="s">
        <v>26</v>
      </c>
      <c r="C13" s="52">
        <f>F13/2080</f>
        <v>29.278846153846153</v>
      </c>
      <c r="D13" s="42">
        <v>60000</v>
      </c>
      <c r="E13" s="43">
        <f>((D13*1.03)/2)+(D13/2)</f>
        <v>60900</v>
      </c>
      <c r="F13" s="44">
        <f>+E13</f>
        <v>60900</v>
      </c>
      <c r="G13" s="53">
        <f>SUM($F13)*$G$8</f>
        <v>4658.8500000000004</v>
      </c>
      <c r="H13" s="53">
        <f>SUM($F13)*H$8</f>
        <v>8647.7999999999993</v>
      </c>
      <c r="I13" s="53">
        <f>(7000*6%)+(9000*3.13%)</f>
        <v>701.7</v>
      </c>
      <c r="J13" s="45">
        <f t="shared" si="2"/>
        <v>127.88999999999999</v>
      </c>
      <c r="K13" s="54">
        <f>(38.91+3.05)*26</f>
        <v>1090.9599999999998</v>
      </c>
      <c r="L13" s="44">
        <f>(K13*4%)+K13</f>
        <v>1134.5983999999999</v>
      </c>
      <c r="M13" s="43">
        <f t="shared" si="4"/>
        <v>76170.838400000008</v>
      </c>
      <c r="N13" s="55"/>
      <c r="O13" s="55"/>
      <c r="P13" s="55"/>
      <c r="Q13" s="55"/>
      <c r="R13" s="55"/>
      <c r="S13" s="55"/>
      <c r="T13" s="56"/>
    </row>
    <row r="14" spans="1:20" x14ac:dyDescent="0.45">
      <c r="A14" s="51" t="s">
        <v>27</v>
      </c>
      <c r="B14" t="s">
        <v>28</v>
      </c>
      <c r="C14" s="52" t="s">
        <v>0</v>
      </c>
      <c r="D14" s="42">
        <v>55000</v>
      </c>
      <c r="E14" s="43">
        <f t="shared" ref="E14:E19" si="5">((D14*1.03)/2)+(D14/2)</f>
        <v>55825</v>
      </c>
      <c r="F14" s="44">
        <f t="shared" ref="F14:F19" si="6">+E14</f>
        <v>55825</v>
      </c>
      <c r="G14" s="53">
        <f t="shared" si="0"/>
        <v>4270.6125000000002</v>
      </c>
      <c r="H14" s="53">
        <f t="shared" si="1"/>
        <v>7927.15</v>
      </c>
      <c r="I14" s="53">
        <f t="shared" ref="I14:I19" si="7">(7000*6%)+(9000*3.13%)</f>
        <v>701.7</v>
      </c>
      <c r="J14" s="45">
        <f t="shared" si="2"/>
        <v>117.23249999999999</v>
      </c>
      <c r="K14" s="54">
        <f>(16.45+3.05+204.03)*26</f>
        <v>5811.78</v>
      </c>
      <c r="L14" s="44">
        <f>(K14*4%)+K14</f>
        <v>6044.2511999999997</v>
      </c>
      <c r="M14" s="43">
        <f t="shared" si="4"/>
        <v>74885.946199999991</v>
      </c>
      <c r="N14" s="55"/>
      <c r="O14" s="55"/>
      <c r="P14" s="55"/>
      <c r="Q14" s="55"/>
      <c r="R14" s="55"/>
      <c r="S14" s="55"/>
      <c r="T14" s="56"/>
    </row>
    <row r="15" spans="1:20" x14ac:dyDescent="0.45">
      <c r="A15" s="51" t="s">
        <v>29</v>
      </c>
      <c r="B15" t="s">
        <v>30</v>
      </c>
      <c r="C15" s="52" t="s">
        <v>0</v>
      </c>
      <c r="D15" s="42">
        <v>0</v>
      </c>
      <c r="E15" s="43">
        <f t="shared" si="5"/>
        <v>0</v>
      </c>
      <c r="F15" s="44">
        <f t="shared" si="6"/>
        <v>0</v>
      </c>
      <c r="G15" s="53">
        <f t="shared" si="0"/>
        <v>0</v>
      </c>
      <c r="H15" s="53">
        <f t="shared" si="1"/>
        <v>0</v>
      </c>
      <c r="I15" s="53">
        <v>0</v>
      </c>
      <c r="J15" s="45">
        <f t="shared" si="2"/>
        <v>0</v>
      </c>
      <c r="K15" s="54">
        <v>0</v>
      </c>
      <c r="L15" s="44">
        <v>16563</v>
      </c>
      <c r="M15" s="43">
        <f t="shared" si="4"/>
        <v>16563</v>
      </c>
      <c r="N15" s="55"/>
      <c r="O15" s="55"/>
      <c r="P15" s="55"/>
      <c r="Q15" s="55"/>
      <c r="R15" s="55"/>
      <c r="S15" s="55"/>
      <c r="T15" s="56"/>
    </row>
    <row r="16" spans="1:20" x14ac:dyDescent="0.45">
      <c r="A16" s="51" t="s">
        <v>31</v>
      </c>
      <c r="B16" t="s">
        <v>32</v>
      </c>
      <c r="C16" s="52" t="s">
        <v>0</v>
      </c>
      <c r="D16" s="42">
        <v>45000</v>
      </c>
      <c r="E16" s="43">
        <f t="shared" si="5"/>
        <v>45675</v>
      </c>
      <c r="F16" s="44">
        <f t="shared" si="6"/>
        <v>45675</v>
      </c>
      <c r="G16" s="53">
        <f t="shared" si="0"/>
        <v>3494.1374999999998</v>
      </c>
      <c r="H16" s="53">
        <f t="shared" si="1"/>
        <v>6485.8499999999995</v>
      </c>
      <c r="I16" s="53">
        <f t="shared" si="7"/>
        <v>701.7</v>
      </c>
      <c r="J16" s="45">
        <f t="shared" si="2"/>
        <v>95.91749999999999</v>
      </c>
      <c r="K16" s="54">
        <v>0</v>
      </c>
      <c r="L16" s="44">
        <f t="shared" ref="L16:L20" si="8">(K16*4%)+K16</f>
        <v>0</v>
      </c>
      <c r="M16" s="43">
        <f t="shared" si="4"/>
        <v>56452.604999999996</v>
      </c>
      <c r="N16" s="55"/>
      <c r="O16" s="55"/>
      <c r="P16" s="55"/>
      <c r="Q16" s="55"/>
      <c r="R16" s="55"/>
      <c r="S16" s="55"/>
      <c r="T16" s="56"/>
    </row>
    <row r="17" spans="1:20" x14ac:dyDescent="0.45">
      <c r="A17" s="57" t="s">
        <v>33</v>
      </c>
      <c r="B17" t="s">
        <v>32</v>
      </c>
      <c r="C17" s="52" t="s">
        <v>0</v>
      </c>
      <c r="D17" s="42">
        <v>50393</v>
      </c>
      <c r="E17" s="43">
        <f t="shared" si="5"/>
        <v>51148.895000000004</v>
      </c>
      <c r="F17" s="44">
        <f t="shared" si="6"/>
        <v>51148.895000000004</v>
      </c>
      <c r="G17" s="53">
        <f t="shared" si="0"/>
        <v>3912.8904675000003</v>
      </c>
      <c r="H17" s="53">
        <f t="shared" si="1"/>
        <v>7263.1430899999996</v>
      </c>
      <c r="I17" s="53">
        <f t="shared" si="7"/>
        <v>701.7</v>
      </c>
      <c r="J17" s="45">
        <f t="shared" si="2"/>
        <v>107.4126795</v>
      </c>
      <c r="K17" s="54">
        <f>(38.91+5.47+348.08)*26</f>
        <v>10203.959999999999</v>
      </c>
      <c r="L17" s="44">
        <f t="shared" si="8"/>
        <v>10612.118399999999</v>
      </c>
      <c r="M17" s="43">
        <f t="shared" si="4"/>
        <v>73746.159637000004</v>
      </c>
      <c r="N17" s="55"/>
      <c r="O17" s="55"/>
      <c r="P17" s="55"/>
      <c r="Q17" s="55"/>
      <c r="R17" s="55"/>
      <c r="S17" s="55"/>
      <c r="T17" s="56"/>
    </row>
    <row r="18" spans="1:20" x14ac:dyDescent="0.45">
      <c r="A18" s="51" t="s">
        <v>34</v>
      </c>
      <c r="B18" t="s">
        <v>32</v>
      </c>
      <c r="C18" s="52" t="s">
        <v>0</v>
      </c>
      <c r="D18" s="42">
        <v>54000</v>
      </c>
      <c r="E18" s="43">
        <f t="shared" si="5"/>
        <v>54810</v>
      </c>
      <c r="F18" s="44">
        <f t="shared" si="6"/>
        <v>54810</v>
      </c>
      <c r="G18" s="53">
        <f t="shared" si="0"/>
        <v>4192.9650000000001</v>
      </c>
      <c r="H18" s="53">
        <f t="shared" si="1"/>
        <v>7783.0199999999995</v>
      </c>
      <c r="I18" s="53">
        <f t="shared" si="7"/>
        <v>701.7</v>
      </c>
      <c r="J18" s="45">
        <f t="shared" si="2"/>
        <v>115.101</v>
      </c>
      <c r="K18" s="54">
        <v>0</v>
      </c>
      <c r="L18" s="44">
        <f t="shared" si="8"/>
        <v>0</v>
      </c>
      <c r="M18" s="43">
        <f t="shared" si="4"/>
        <v>67602.785999999993</v>
      </c>
      <c r="N18" s="55"/>
      <c r="O18" s="55"/>
      <c r="P18" s="55"/>
      <c r="Q18" s="55"/>
      <c r="R18" s="55"/>
      <c r="S18" s="55"/>
      <c r="T18" s="56"/>
    </row>
    <row r="19" spans="1:20" x14ac:dyDescent="0.45">
      <c r="A19" s="51" t="s">
        <v>35</v>
      </c>
      <c r="B19" t="s">
        <v>36</v>
      </c>
      <c r="C19" s="52">
        <v>17</v>
      </c>
      <c r="D19" s="42">
        <f>C19*2080</f>
        <v>35360</v>
      </c>
      <c r="E19" s="43">
        <f t="shared" si="5"/>
        <v>35890.400000000001</v>
      </c>
      <c r="F19" s="44">
        <f t="shared" si="6"/>
        <v>35890.400000000001</v>
      </c>
      <c r="G19" s="53">
        <f t="shared" si="0"/>
        <v>2745.6156000000001</v>
      </c>
      <c r="H19" s="53">
        <f t="shared" si="1"/>
        <v>5096.4367999999995</v>
      </c>
      <c r="I19" s="53">
        <f t="shared" si="7"/>
        <v>701.7</v>
      </c>
      <c r="J19" s="45">
        <f t="shared" si="2"/>
        <v>75.369839999999996</v>
      </c>
      <c r="K19" s="54">
        <v>10204</v>
      </c>
      <c r="L19" s="44">
        <f t="shared" si="8"/>
        <v>10612.16</v>
      </c>
      <c r="M19" s="43">
        <f t="shared" si="4"/>
        <v>55121.682239999995</v>
      </c>
      <c r="N19" s="55"/>
      <c r="O19" s="55"/>
      <c r="P19" s="55"/>
      <c r="Q19" s="55"/>
      <c r="R19" s="55"/>
      <c r="S19" s="55"/>
      <c r="T19" s="56"/>
    </row>
    <row r="20" spans="1:20" x14ac:dyDescent="0.45">
      <c r="A20" s="51" t="s">
        <v>37</v>
      </c>
      <c r="C20" s="52"/>
      <c r="D20" s="58"/>
      <c r="E20" s="59"/>
      <c r="F20" s="60"/>
      <c r="G20" s="53"/>
      <c r="H20" s="53"/>
      <c r="I20" s="53"/>
      <c r="J20" s="53"/>
      <c r="K20" s="61"/>
      <c r="L20" s="44">
        <f t="shared" si="8"/>
        <v>0</v>
      </c>
      <c r="M20" s="43">
        <f t="shared" si="4"/>
        <v>0</v>
      </c>
      <c r="N20" s="55"/>
      <c r="O20" s="55"/>
      <c r="P20" s="55"/>
      <c r="Q20" s="55"/>
      <c r="R20" s="55"/>
      <c r="S20" s="55"/>
      <c r="T20"/>
    </row>
    <row r="21" spans="1:20" ht="14.65" thickBot="1" x14ac:dyDescent="0.5">
      <c r="A21" s="51" t="s">
        <v>38</v>
      </c>
      <c r="B21" s="62" t="s">
        <v>0</v>
      </c>
      <c r="C21" s="63" t="s">
        <v>0</v>
      </c>
      <c r="D21" s="64">
        <f>SUM(D11:D20)</f>
        <v>419753</v>
      </c>
      <c r="E21" s="63">
        <f>SUM(E11:E20)</f>
        <v>304249.29500000004</v>
      </c>
      <c r="F21" s="65">
        <f t="shared" ref="F21:M21" si="9">SUM(F11:F20)</f>
        <v>424249.29500000004</v>
      </c>
      <c r="G21" s="65">
        <f t="shared" si="9"/>
        <v>23275.071067500005</v>
      </c>
      <c r="H21" s="65">
        <f t="shared" si="9"/>
        <v>43203.399889999986</v>
      </c>
      <c r="I21" s="65">
        <f t="shared" si="9"/>
        <v>4210.2</v>
      </c>
      <c r="J21" s="65">
        <f t="shared" si="9"/>
        <v>638.92351949999988</v>
      </c>
      <c r="K21" s="66">
        <f t="shared" si="9"/>
        <v>27310.699999999997</v>
      </c>
      <c r="L21" s="67">
        <f t="shared" si="9"/>
        <v>44966.127999999997</v>
      </c>
      <c r="M21" s="63">
        <f t="shared" si="9"/>
        <v>540543.01747700002</v>
      </c>
      <c r="N21" s="55"/>
      <c r="O21" s="55"/>
      <c r="P21" s="55"/>
      <c r="Q21" s="55"/>
      <c r="R21" s="55"/>
      <c r="S21" s="55"/>
      <c r="T21"/>
    </row>
    <row r="22" spans="1:20" ht="14.65" thickTop="1" x14ac:dyDescent="0.45">
      <c r="F22"/>
      <c r="G22" s="68"/>
      <c r="H22" s="15"/>
      <c r="I22" s="15"/>
      <c r="J22" s="15"/>
      <c r="K22" s="15"/>
      <c r="L22" s="69"/>
      <c r="M22" s="52">
        <f>+F21+G21+H21+I21+J21+L21</f>
        <v>540543.01747700002</v>
      </c>
      <c r="N22" s="55"/>
      <c r="O22" s="55"/>
      <c r="P22" s="55"/>
      <c r="Q22" s="55"/>
      <c r="R22" s="55"/>
      <c r="S22" s="55"/>
      <c r="T22"/>
    </row>
    <row r="23" spans="1:20" x14ac:dyDescent="0.45">
      <c r="D23" s="15"/>
      <c r="E23" s="15"/>
      <c r="F23" s="16" t="s">
        <v>39</v>
      </c>
      <c r="G23" s="15">
        <f>F13-D13</f>
        <v>900</v>
      </c>
      <c r="H23" s="70"/>
      <c r="I23" s="15"/>
      <c r="J23" s="15"/>
      <c r="K23" s="15"/>
      <c r="L23" s="69"/>
      <c r="N23" s="55"/>
      <c r="O23" s="55"/>
      <c r="P23" s="55"/>
      <c r="Q23" s="55"/>
      <c r="R23" s="55"/>
      <c r="S23" s="55"/>
      <c r="T23"/>
    </row>
    <row r="24" spans="1:20" x14ac:dyDescent="0.45">
      <c r="A24" t="s">
        <v>40</v>
      </c>
      <c r="D24" s="15"/>
      <c r="E24" s="15"/>
      <c r="F24" s="71">
        <v>0.03</v>
      </c>
      <c r="G24" s="68">
        <f>G23/D17</f>
        <v>1.7859623360387357E-2</v>
      </c>
      <c r="H24" s="15"/>
      <c r="I24" s="15"/>
      <c r="J24" s="15"/>
      <c r="K24" s="15"/>
      <c r="L24" s="69"/>
      <c r="N24" s="55"/>
      <c r="O24" s="55"/>
      <c r="P24" s="55"/>
      <c r="Q24" s="55"/>
      <c r="R24" s="55"/>
      <c r="S24" s="55"/>
      <c r="T24"/>
    </row>
    <row r="25" spans="1:20" x14ac:dyDescent="0.45">
      <c r="B25" s="72" t="s">
        <v>41</v>
      </c>
      <c r="C25" s="72"/>
      <c r="D25" s="73" t="s">
        <v>42</v>
      </c>
      <c r="E25" s="73"/>
      <c r="F25" s="74" t="s">
        <v>43</v>
      </c>
      <c r="G25" s="73" t="s">
        <v>15</v>
      </c>
      <c r="H25" s="73" t="s">
        <v>16</v>
      </c>
      <c r="I25" s="28" t="s">
        <v>17</v>
      </c>
      <c r="J25" s="75" t="s">
        <v>18</v>
      </c>
      <c r="K25" s="75"/>
      <c r="L25" s="31" t="s">
        <v>19</v>
      </c>
      <c r="M25" s="32" t="s">
        <v>20</v>
      </c>
      <c r="N25" s="55"/>
      <c r="O25" s="55"/>
      <c r="P25" s="55"/>
      <c r="Q25" s="55"/>
      <c r="R25" s="55"/>
      <c r="S25" s="55"/>
      <c r="T25"/>
    </row>
    <row r="26" spans="1:20" s="77" customFormat="1" x14ac:dyDescent="0.45">
      <c r="A26" s="76" t="s">
        <v>22</v>
      </c>
      <c r="B26" s="40" t="s">
        <v>23</v>
      </c>
      <c r="D26" s="78">
        <f>+F11</f>
        <v>120000</v>
      </c>
      <c r="E26" s="79"/>
      <c r="F26" s="78">
        <v>120000</v>
      </c>
      <c r="G26" s="80">
        <v>0</v>
      </c>
      <c r="H26" s="80">
        <v>0</v>
      </c>
      <c r="I26" s="80">
        <v>0</v>
      </c>
      <c r="J26" s="80">
        <v>0</v>
      </c>
      <c r="K26" s="81"/>
      <c r="L26" s="78">
        <f>$L$11*N26</f>
        <v>0</v>
      </c>
      <c r="M26" s="80">
        <f>SUM(F26:L26)</f>
        <v>120000</v>
      </c>
      <c r="N26" s="82"/>
      <c r="O26" s="82"/>
      <c r="P26" s="82"/>
      <c r="Q26" s="82"/>
      <c r="R26" s="82"/>
      <c r="S26" s="82"/>
      <c r="T26" s="83"/>
    </row>
    <row r="27" spans="1:20" ht="14.65" thickBot="1" x14ac:dyDescent="0.5">
      <c r="D27" s="84">
        <f>SUM(D26:D26)</f>
        <v>120000</v>
      </c>
      <c r="E27" s="85"/>
      <c r="F27" s="86">
        <f>SUM(F26:F26)</f>
        <v>120000</v>
      </c>
      <c r="G27" s="87">
        <f>SUM(G26:G26)</f>
        <v>0</v>
      </c>
      <c r="H27" s="87">
        <f>SUM(H26:H26)</f>
        <v>0</v>
      </c>
      <c r="I27" s="87">
        <f>SUM(I26:I26)</f>
        <v>0</v>
      </c>
      <c r="J27" s="87">
        <f>SUM(J26:J26)</f>
        <v>0</v>
      </c>
      <c r="K27" s="87"/>
      <c r="L27" s="87">
        <f>SUM(L26:L26)</f>
        <v>0</v>
      </c>
      <c r="M27" s="87">
        <f>SUM(M26:M26)</f>
        <v>120000</v>
      </c>
      <c r="N27" s="55"/>
      <c r="O27" s="55"/>
      <c r="P27" s="55"/>
      <c r="Q27" s="55"/>
      <c r="R27" s="55"/>
      <c r="S27" s="55"/>
      <c r="T27"/>
    </row>
    <row r="28" spans="1:20" ht="14.65" thickTop="1" x14ac:dyDescent="0.45">
      <c r="B28" s="5" t="s">
        <v>44</v>
      </c>
      <c r="D28" s="88"/>
      <c r="E28" s="88"/>
      <c r="F28" s="89">
        <f>F27*85%</f>
        <v>102000</v>
      </c>
      <c r="G28" s="88"/>
      <c r="H28" s="88"/>
      <c r="I28" s="88"/>
      <c r="J28" s="88"/>
      <c r="K28" s="88"/>
      <c r="L28" s="90"/>
      <c r="M28" s="88">
        <f>M27*85%</f>
        <v>102000</v>
      </c>
      <c r="N28" s="55" t="s">
        <v>45</v>
      </c>
      <c r="O28" s="55"/>
      <c r="P28" s="55"/>
      <c r="Q28" s="55"/>
      <c r="R28" s="55"/>
      <c r="S28" s="55"/>
      <c r="T28"/>
    </row>
    <row r="29" spans="1:20" x14ac:dyDescent="0.45">
      <c r="B29" s="5"/>
      <c r="D29" s="88"/>
      <c r="E29" s="88"/>
      <c r="F29" s="89">
        <f>F27*15%</f>
        <v>18000</v>
      </c>
      <c r="G29" s="88"/>
      <c r="H29" s="88"/>
      <c r="I29" s="88"/>
      <c r="J29" s="88"/>
      <c r="K29" s="88"/>
      <c r="L29" s="90"/>
      <c r="M29" s="88"/>
      <c r="N29" s="55"/>
      <c r="O29" s="55"/>
      <c r="P29" s="55"/>
      <c r="Q29" s="55"/>
      <c r="R29" s="55"/>
      <c r="S29" s="55"/>
      <c r="T29"/>
    </row>
    <row r="30" spans="1:20" x14ac:dyDescent="0.45">
      <c r="B30" s="5"/>
      <c r="D30" s="88"/>
      <c r="E30" s="88"/>
      <c r="F30" s="89"/>
      <c r="G30" s="88"/>
      <c r="H30" s="88"/>
      <c r="I30" s="88"/>
      <c r="J30" s="88"/>
      <c r="K30" s="88"/>
      <c r="L30" s="90"/>
      <c r="M30" s="88"/>
      <c r="N30" s="55"/>
      <c r="O30" s="55"/>
      <c r="P30" s="55"/>
      <c r="Q30" s="55"/>
      <c r="R30" s="55"/>
      <c r="S30" s="55"/>
      <c r="T30"/>
    </row>
    <row r="31" spans="1:20" x14ac:dyDescent="0.45">
      <c r="B31" s="5"/>
      <c r="D31" s="88"/>
      <c r="E31" s="88"/>
      <c r="F31" s="89"/>
      <c r="G31" s="88"/>
      <c r="H31" s="88"/>
      <c r="I31" s="88"/>
      <c r="J31" s="88"/>
      <c r="K31" s="88"/>
      <c r="L31" s="90"/>
      <c r="M31" s="88"/>
      <c r="N31" s="55"/>
      <c r="O31" s="55"/>
      <c r="P31" s="55"/>
      <c r="Q31" s="55"/>
      <c r="R31" s="55"/>
      <c r="S31" s="55"/>
      <c r="T31"/>
    </row>
    <row r="32" spans="1:20" x14ac:dyDescent="0.45">
      <c r="D32" s="15" t="s">
        <v>0</v>
      </c>
      <c r="E32" s="15"/>
      <c r="F32" s="16" t="s">
        <v>39</v>
      </c>
      <c r="G32" s="15"/>
      <c r="H32" s="15"/>
      <c r="I32" s="15"/>
      <c r="J32" s="15"/>
      <c r="K32" s="15"/>
      <c r="L32" s="69"/>
      <c r="N32" s="55"/>
      <c r="O32" s="55"/>
      <c r="P32" s="55"/>
      <c r="Q32" s="55"/>
      <c r="R32" s="55"/>
      <c r="S32" s="55"/>
      <c r="T32"/>
    </row>
    <row r="33" spans="1:20" x14ac:dyDescent="0.45">
      <c r="D33" s="15"/>
      <c r="E33" s="15"/>
      <c r="F33" s="71">
        <v>0.03</v>
      </c>
      <c r="G33" s="15"/>
      <c r="H33" s="15"/>
      <c r="I33" s="15"/>
      <c r="J33" s="15"/>
      <c r="K33" s="15"/>
      <c r="L33" s="69"/>
      <c r="N33" s="55"/>
      <c r="O33" s="55"/>
      <c r="P33" s="55"/>
      <c r="Q33" s="55"/>
      <c r="R33" s="55"/>
      <c r="S33" s="55"/>
      <c r="T33"/>
    </row>
    <row r="34" spans="1:20" x14ac:dyDescent="0.45">
      <c r="B34" s="72" t="s">
        <v>46</v>
      </c>
      <c r="C34" s="72"/>
      <c r="D34" s="73" t="s">
        <v>42</v>
      </c>
      <c r="E34" s="73"/>
      <c r="F34" s="74" t="s">
        <v>43</v>
      </c>
      <c r="G34" s="73" t="s">
        <v>15</v>
      </c>
      <c r="H34" s="73" t="s">
        <v>16</v>
      </c>
      <c r="I34" s="28" t="s">
        <v>17</v>
      </c>
      <c r="J34" s="75" t="s">
        <v>18</v>
      </c>
      <c r="K34" s="75"/>
      <c r="L34" s="31" t="s">
        <v>19</v>
      </c>
      <c r="M34" s="32" t="s">
        <v>20</v>
      </c>
      <c r="N34" s="55"/>
      <c r="O34" s="55"/>
      <c r="P34" s="55"/>
      <c r="Q34" s="55"/>
      <c r="R34" s="55"/>
      <c r="S34" s="55"/>
      <c r="T34"/>
    </row>
    <row r="35" spans="1:20" x14ac:dyDescent="0.45">
      <c r="A35" t="s">
        <v>25</v>
      </c>
      <c r="B35" s="91" t="s">
        <v>26</v>
      </c>
      <c r="C35" s="91"/>
      <c r="D35" s="92">
        <f>+F13</f>
        <v>60900</v>
      </c>
      <c r="E35" s="93"/>
      <c r="F35" s="94">
        <f>+D35</f>
        <v>60900</v>
      </c>
      <c r="G35" s="95">
        <f>+G13</f>
        <v>4658.8500000000004</v>
      </c>
      <c r="H35" s="92">
        <f>+H13</f>
        <v>8647.7999999999993</v>
      </c>
      <c r="I35" s="96">
        <f>+I13</f>
        <v>701.7</v>
      </c>
      <c r="J35" s="97">
        <f>+J13</f>
        <v>127.88999999999999</v>
      </c>
      <c r="K35" s="98"/>
      <c r="L35" s="41">
        <f>+L13</f>
        <v>1134.5983999999999</v>
      </c>
      <c r="M35" s="99">
        <f t="shared" ref="M35:M39" si="10">SUM(F35:L35)</f>
        <v>76170.838400000008</v>
      </c>
      <c r="N35" s="55"/>
      <c r="O35" s="55"/>
      <c r="P35" s="55"/>
      <c r="Q35" s="55"/>
      <c r="R35" s="55"/>
      <c r="S35" s="55"/>
      <c r="T35"/>
    </row>
    <row r="36" spans="1:20" x14ac:dyDescent="0.45">
      <c r="A36" s="51" t="s">
        <v>31</v>
      </c>
      <c r="B36" t="s">
        <v>32</v>
      </c>
      <c r="D36" s="100">
        <f>+F16</f>
        <v>45675</v>
      </c>
      <c r="E36" s="80"/>
      <c r="F36" s="94">
        <f t="shared" ref="F36:F39" si="11">+D36</f>
        <v>45675</v>
      </c>
      <c r="G36" s="95">
        <f t="shared" ref="G36:H39" si="12">+G16</f>
        <v>3494.1374999999998</v>
      </c>
      <c r="H36" s="59">
        <f t="shared" si="12"/>
        <v>6485.8499999999995</v>
      </c>
      <c r="I36" s="99">
        <f>I16</f>
        <v>701.7</v>
      </c>
      <c r="J36" s="99">
        <f>+J16</f>
        <v>95.91749999999999</v>
      </c>
      <c r="K36" s="101"/>
      <c r="L36" s="102">
        <f>+L16</f>
        <v>0</v>
      </c>
      <c r="M36" s="99">
        <f t="shared" si="10"/>
        <v>56452.604999999996</v>
      </c>
      <c r="N36" s="55"/>
      <c r="O36" s="55"/>
      <c r="P36" s="55"/>
      <c r="Q36" s="55"/>
      <c r="R36" s="55"/>
      <c r="S36" s="55"/>
      <c r="T36" s="56"/>
    </row>
    <row r="37" spans="1:20" x14ac:dyDescent="0.45">
      <c r="A37" s="51" t="s">
        <v>47</v>
      </c>
      <c r="B37" t="s">
        <v>32</v>
      </c>
      <c r="D37" s="103">
        <f>+F17</f>
        <v>51148.895000000004</v>
      </c>
      <c r="E37" s="95"/>
      <c r="F37" s="94">
        <f t="shared" si="11"/>
        <v>51148.895000000004</v>
      </c>
      <c r="G37" s="95">
        <f t="shared" si="12"/>
        <v>3912.8904675000003</v>
      </c>
      <c r="H37" s="59">
        <f t="shared" si="12"/>
        <v>7263.1430899999996</v>
      </c>
      <c r="I37" s="99">
        <f>I17</f>
        <v>701.7</v>
      </c>
      <c r="J37" s="99">
        <f>+J17</f>
        <v>107.4126795</v>
      </c>
      <c r="K37" s="104"/>
      <c r="L37" s="102">
        <f>+L17</f>
        <v>10612.118399999999</v>
      </c>
      <c r="M37" s="99">
        <f t="shared" si="10"/>
        <v>73746.159637000004</v>
      </c>
      <c r="N37" s="55"/>
      <c r="O37" s="55"/>
      <c r="P37" s="55"/>
      <c r="Q37" s="55"/>
      <c r="R37" s="55"/>
      <c r="S37" s="55"/>
      <c r="T37" s="56"/>
    </row>
    <row r="38" spans="1:20" x14ac:dyDescent="0.45">
      <c r="A38" s="51" t="s">
        <v>34</v>
      </c>
      <c r="B38" t="s">
        <v>32</v>
      </c>
      <c r="D38" s="103">
        <f>+F18</f>
        <v>54810</v>
      </c>
      <c r="E38" s="95"/>
      <c r="F38" s="94">
        <f t="shared" si="11"/>
        <v>54810</v>
      </c>
      <c r="G38" s="95">
        <f t="shared" si="12"/>
        <v>4192.9650000000001</v>
      </c>
      <c r="H38" s="59">
        <f t="shared" si="12"/>
        <v>7783.0199999999995</v>
      </c>
      <c r="I38" s="99">
        <f>I18</f>
        <v>701.7</v>
      </c>
      <c r="J38" s="99">
        <f>+J18</f>
        <v>115.101</v>
      </c>
      <c r="K38" s="104"/>
      <c r="L38" s="102">
        <f>+L18</f>
        <v>0</v>
      </c>
      <c r="M38" s="99">
        <f t="shared" si="10"/>
        <v>67602.785999999993</v>
      </c>
      <c r="N38" s="55"/>
      <c r="O38" s="55"/>
      <c r="P38" s="55"/>
      <c r="Q38" s="55"/>
      <c r="R38" s="55"/>
      <c r="S38" s="55"/>
      <c r="T38" s="56"/>
    </row>
    <row r="39" spans="1:20" x14ac:dyDescent="0.45">
      <c r="A39" s="51" t="s">
        <v>29</v>
      </c>
      <c r="B39" t="s">
        <v>36</v>
      </c>
      <c r="D39" s="103">
        <f>+F19</f>
        <v>35890.400000000001</v>
      </c>
      <c r="E39" s="95"/>
      <c r="F39" s="94">
        <f t="shared" si="11"/>
        <v>35890.400000000001</v>
      </c>
      <c r="G39" s="95">
        <f t="shared" si="12"/>
        <v>2745.6156000000001</v>
      </c>
      <c r="H39" s="59">
        <f t="shared" si="12"/>
        <v>5096.4367999999995</v>
      </c>
      <c r="I39" s="99">
        <f>I19</f>
        <v>701.7</v>
      </c>
      <c r="J39" s="99">
        <f>+J19</f>
        <v>75.369839999999996</v>
      </c>
      <c r="K39" s="104"/>
      <c r="L39" s="102">
        <f>+L19</f>
        <v>10612.16</v>
      </c>
      <c r="M39" s="99">
        <f t="shared" si="10"/>
        <v>55121.682239999995</v>
      </c>
      <c r="N39" s="55"/>
      <c r="O39" s="55"/>
      <c r="P39" s="55"/>
      <c r="Q39" s="55"/>
      <c r="R39" s="55"/>
      <c r="S39" s="55"/>
      <c r="T39" s="56"/>
    </row>
    <row r="40" spans="1:20" ht="14.65" thickBot="1" x14ac:dyDescent="0.5">
      <c r="D40" s="105">
        <f>SUM(D36:D39)</f>
        <v>187524.29500000001</v>
      </c>
      <c r="E40" s="106"/>
      <c r="F40" s="107">
        <f>SUM(F35:F39)</f>
        <v>248424.29500000001</v>
      </c>
      <c r="G40" s="106">
        <f>SUM(G35:G39)</f>
        <v>19004.458567500002</v>
      </c>
      <c r="H40" s="63">
        <f>SUM(H35:H39)</f>
        <v>35276.249889999999</v>
      </c>
      <c r="I40" s="108">
        <f>SUM(I35:I39)</f>
        <v>3508.5</v>
      </c>
      <c r="J40" s="108">
        <f>SUM(J35:J39)</f>
        <v>521.69101949999992</v>
      </c>
      <c r="K40" s="106"/>
      <c r="L40" s="109">
        <f>SUM(L35:L39)</f>
        <v>22358.876799999998</v>
      </c>
      <c r="M40" s="108">
        <f>SUM(M35:M39)</f>
        <v>329094.07127700001</v>
      </c>
      <c r="N40" s="55"/>
      <c r="O40" s="55"/>
      <c r="P40" s="55"/>
      <c r="Q40" s="55"/>
      <c r="R40" s="55"/>
      <c r="S40" s="55"/>
      <c r="T40"/>
    </row>
    <row r="41" spans="1:20" ht="14.65" thickTop="1" x14ac:dyDescent="0.45">
      <c r="D41" s="92"/>
      <c r="E41" s="110"/>
      <c r="F41" s="94"/>
      <c r="G41" s="110"/>
      <c r="H41" s="111"/>
      <c r="I41" s="112"/>
      <c r="J41" s="112"/>
      <c r="K41" s="110"/>
      <c r="L41" s="113"/>
      <c r="M41" s="112">
        <v>18000</v>
      </c>
      <c r="N41" s="55"/>
      <c r="O41" s="55"/>
      <c r="P41" s="55"/>
      <c r="Q41" s="55"/>
      <c r="R41" s="55"/>
      <c r="S41" s="55"/>
      <c r="T41"/>
    </row>
    <row r="42" spans="1:20" x14ac:dyDescent="0.45">
      <c r="D42" s="92"/>
      <c r="E42" s="110"/>
      <c r="F42" s="94"/>
      <c r="G42" s="110"/>
      <c r="H42" s="111"/>
      <c r="I42" s="112"/>
      <c r="J42" s="112"/>
      <c r="K42" s="110"/>
      <c r="L42" s="113"/>
      <c r="M42" s="112"/>
      <c r="N42" s="55"/>
      <c r="O42" s="55"/>
      <c r="P42" s="55"/>
      <c r="Q42" s="55"/>
      <c r="R42" s="55"/>
      <c r="S42" s="55"/>
      <c r="T42"/>
    </row>
    <row r="43" spans="1:20" x14ac:dyDescent="0.45">
      <c r="D43" s="92"/>
      <c r="E43" s="110"/>
      <c r="F43" s="94"/>
      <c r="G43" s="110"/>
      <c r="H43" s="111"/>
      <c r="I43" s="112"/>
      <c r="J43" s="112"/>
      <c r="K43" s="110"/>
      <c r="L43" s="113"/>
      <c r="M43" s="112"/>
      <c r="N43" s="55"/>
      <c r="O43" s="55"/>
      <c r="P43" s="55"/>
      <c r="Q43" s="55"/>
      <c r="R43" s="55"/>
      <c r="S43" s="55"/>
      <c r="T43"/>
    </row>
    <row r="44" spans="1:20" x14ac:dyDescent="0.45">
      <c r="D44" s="92"/>
      <c r="E44" s="110"/>
      <c r="F44" s="94"/>
      <c r="G44" s="110"/>
      <c r="H44" s="111"/>
      <c r="I44" s="112"/>
      <c r="J44" s="112"/>
      <c r="K44" s="110"/>
      <c r="L44" s="113"/>
      <c r="M44" s="112"/>
      <c r="N44" s="55"/>
      <c r="O44" s="55"/>
      <c r="P44" s="55"/>
      <c r="Q44" s="55"/>
      <c r="R44" s="55"/>
      <c r="S44" s="55"/>
      <c r="T44"/>
    </row>
    <row r="45" spans="1:20" x14ac:dyDescent="0.45">
      <c r="D45" s="92"/>
      <c r="E45" s="110"/>
      <c r="F45" s="94"/>
      <c r="G45" s="110"/>
      <c r="H45" s="111"/>
      <c r="I45" s="112"/>
      <c r="J45" s="112"/>
      <c r="K45" s="110"/>
      <c r="L45" s="113"/>
      <c r="M45" s="112"/>
      <c r="N45" s="55"/>
      <c r="O45" s="55"/>
      <c r="P45" s="55"/>
      <c r="Q45" s="55"/>
      <c r="R45" s="55"/>
      <c r="S45" s="55"/>
      <c r="T45"/>
    </row>
    <row r="46" spans="1:20" x14ac:dyDescent="0.45">
      <c r="D46" s="15"/>
      <c r="E46" s="15"/>
      <c r="F46" s="71">
        <v>0.03</v>
      </c>
      <c r="G46" s="15"/>
      <c r="H46" s="15"/>
      <c r="I46" s="15"/>
      <c r="J46" s="15"/>
      <c r="K46" s="15"/>
      <c r="L46" s="69"/>
      <c r="N46" s="55"/>
      <c r="O46" s="55"/>
      <c r="P46" s="55"/>
      <c r="Q46" s="55"/>
      <c r="R46" s="55"/>
      <c r="S46" s="55"/>
      <c r="T46"/>
    </row>
    <row r="47" spans="1:20" x14ac:dyDescent="0.45">
      <c r="B47" s="72" t="s">
        <v>48</v>
      </c>
      <c r="C47" s="72"/>
      <c r="D47" s="73" t="s">
        <v>42</v>
      </c>
      <c r="E47" s="73"/>
      <c r="F47" s="74" t="s">
        <v>43</v>
      </c>
      <c r="G47" s="73" t="s">
        <v>15</v>
      </c>
      <c r="H47" s="73" t="s">
        <v>16</v>
      </c>
      <c r="I47" s="28" t="s">
        <v>17</v>
      </c>
      <c r="J47" s="75" t="s">
        <v>18</v>
      </c>
      <c r="K47" s="75"/>
      <c r="L47" s="31" t="s">
        <v>19</v>
      </c>
      <c r="M47" s="32" t="s">
        <v>20</v>
      </c>
      <c r="N47" s="55"/>
      <c r="O47" s="55"/>
      <c r="P47" s="55"/>
      <c r="Q47" s="55"/>
      <c r="R47" s="55"/>
      <c r="S47" s="55"/>
      <c r="T47"/>
    </row>
    <row r="48" spans="1:20" x14ac:dyDescent="0.45">
      <c r="A48" s="51" t="s">
        <v>27</v>
      </c>
      <c r="B48" t="s">
        <v>28</v>
      </c>
      <c r="D48" s="78">
        <f>+F14</f>
        <v>55825</v>
      </c>
      <c r="E48" s="80"/>
      <c r="F48" s="114">
        <f>+D48</f>
        <v>55825</v>
      </c>
      <c r="G48" s="95">
        <f>+G14</f>
        <v>4270.6125000000002</v>
      </c>
      <c r="H48" s="95">
        <f>+H14</f>
        <v>7927.15</v>
      </c>
      <c r="I48" s="95">
        <f>+I14</f>
        <v>701.7</v>
      </c>
      <c r="J48" s="95">
        <f>+J14</f>
        <v>117.23249999999999</v>
      </c>
      <c r="K48" s="101"/>
      <c r="L48" s="115">
        <f>+L14</f>
        <v>6044.2511999999997</v>
      </c>
      <c r="M48" s="95">
        <f t="shared" ref="M48" si="13">SUM(F48:L48)</f>
        <v>74885.946199999991</v>
      </c>
      <c r="N48" s="55"/>
      <c r="O48" s="55"/>
      <c r="P48" s="55"/>
      <c r="Q48" s="55"/>
      <c r="R48" s="55"/>
      <c r="S48" s="55"/>
      <c r="T48" s="56"/>
    </row>
    <row r="49" spans="1:20" x14ac:dyDescent="0.45">
      <c r="A49" s="51" t="s">
        <v>29</v>
      </c>
      <c r="B49" t="s">
        <v>49</v>
      </c>
      <c r="D49" s="78">
        <f>$D15</f>
        <v>0</v>
      </c>
      <c r="E49" s="80"/>
      <c r="F49" s="114">
        <f>+D49</f>
        <v>0</v>
      </c>
      <c r="G49" s="95">
        <f>SUM($F49)*$G$8</f>
        <v>0</v>
      </c>
      <c r="H49" s="95">
        <f t="shared" ref="H49:J49" si="14">SUM($F49)*H$8</f>
        <v>0</v>
      </c>
      <c r="I49" s="95">
        <v>0</v>
      </c>
      <c r="J49" s="95">
        <f t="shared" si="14"/>
        <v>0</v>
      </c>
      <c r="K49" s="101"/>
      <c r="L49" s="115">
        <f>$L15*$P49</f>
        <v>0</v>
      </c>
      <c r="M49" s="95">
        <f t="shared" ref="M49" si="15">SUM(F49:L49)</f>
        <v>0</v>
      </c>
      <c r="N49" s="55"/>
      <c r="O49" s="55"/>
      <c r="P49" s="55"/>
      <c r="Q49" s="55"/>
      <c r="R49" s="55"/>
      <c r="S49" s="55"/>
      <c r="T49" s="56"/>
    </row>
    <row r="50" spans="1:20" ht="14.65" thickBot="1" x14ac:dyDescent="0.5">
      <c r="D50" s="116">
        <f>SUM(D48:D49)</f>
        <v>55825</v>
      </c>
      <c r="E50" s="106"/>
      <c r="F50" s="117">
        <f>SUM(F48:F49)</f>
        <v>55825</v>
      </c>
      <c r="G50" s="106">
        <f>SUM(G48:G49)</f>
        <v>4270.6125000000002</v>
      </c>
      <c r="H50" s="106">
        <f>SUM(H48:H49)</f>
        <v>7927.15</v>
      </c>
      <c r="I50" s="106">
        <f>SUM(I48:I49)</f>
        <v>701.7</v>
      </c>
      <c r="J50" s="106">
        <f>SUM(J48:J49)</f>
        <v>117.23249999999999</v>
      </c>
      <c r="K50" s="106"/>
      <c r="L50" s="87">
        <f>SUM(L48:L49)</f>
        <v>6044.2511999999997</v>
      </c>
      <c r="M50" s="106">
        <f>SUM(M48:M49)</f>
        <v>74885.946199999991</v>
      </c>
      <c r="N50" s="55"/>
      <c r="O50" s="55"/>
      <c r="P50" s="55"/>
      <c r="Q50" s="55"/>
      <c r="R50" s="55"/>
      <c r="S50" s="55"/>
      <c r="T50"/>
    </row>
    <row r="51" spans="1:20" ht="14.65" thickTop="1" x14ac:dyDescent="0.45">
      <c r="C51" t="s">
        <v>50</v>
      </c>
      <c r="D51" s="88"/>
      <c r="E51" s="88"/>
      <c r="F51" s="89">
        <f>F50*80%</f>
        <v>44660</v>
      </c>
      <c r="G51" s="88">
        <f>G50*80%</f>
        <v>3416.4900000000002</v>
      </c>
      <c r="H51" s="88">
        <f>H50*80%</f>
        <v>6341.72</v>
      </c>
      <c r="I51" s="88">
        <f>I50*80%</f>
        <v>561.36</v>
      </c>
      <c r="J51" s="88">
        <f>J50*80%</f>
        <v>93.786000000000001</v>
      </c>
      <c r="K51" s="88"/>
      <c r="L51" s="90">
        <f>L50*80%</f>
        <v>4835.4009599999999</v>
      </c>
      <c r="M51" s="88">
        <f>M50*80%</f>
        <v>59908.756959999999</v>
      </c>
      <c r="N51" s="55" t="s">
        <v>50</v>
      </c>
      <c r="O51" s="55"/>
      <c r="P51" s="55"/>
      <c r="Q51" s="55"/>
      <c r="R51" s="55"/>
      <c r="S51" s="55"/>
    </row>
    <row r="52" spans="1:20" hidden="1" x14ac:dyDescent="0.45">
      <c r="D52" s="15"/>
      <c r="E52" s="15"/>
      <c r="F52" s="16" t="s">
        <v>39</v>
      </c>
      <c r="G52" s="15"/>
      <c r="H52" s="15"/>
      <c r="I52" s="15"/>
      <c r="J52" s="15"/>
      <c r="K52" s="15"/>
      <c r="L52" s="69"/>
      <c r="N52" s="55"/>
      <c r="O52" s="55"/>
      <c r="P52" s="55"/>
      <c r="Q52" s="55"/>
      <c r="R52" s="55"/>
      <c r="S52" s="55"/>
      <c r="T52"/>
    </row>
    <row r="53" spans="1:20" hidden="1" x14ac:dyDescent="0.45">
      <c r="D53" s="15"/>
      <c r="E53" s="15"/>
      <c r="F53" s="71">
        <v>0.03</v>
      </c>
      <c r="G53" s="15"/>
      <c r="H53" s="15"/>
      <c r="I53" s="15"/>
      <c r="J53" s="15"/>
      <c r="K53" s="15"/>
      <c r="L53" s="69"/>
      <c r="N53" s="55"/>
      <c r="O53" s="55"/>
      <c r="P53" s="55"/>
      <c r="Q53" s="55"/>
      <c r="R53" s="55"/>
      <c r="S53" s="55"/>
      <c r="T53"/>
    </row>
    <row r="54" spans="1:20" hidden="1" x14ac:dyDescent="0.45">
      <c r="B54" s="72" t="s">
        <v>51</v>
      </c>
      <c r="C54" s="72"/>
      <c r="D54" s="73" t="s">
        <v>42</v>
      </c>
      <c r="E54" s="73"/>
      <c r="F54" s="74" t="s">
        <v>43</v>
      </c>
      <c r="G54" s="73" t="s">
        <v>15</v>
      </c>
      <c r="H54" s="73" t="s">
        <v>16</v>
      </c>
      <c r="I54" s="118" t="s">
        <v>52</v>
      </c>
      <c r="J54" s="75" t="s">
        <v>18</v>
      </c>
      <c r="K54" s="75"/>
      <c r="L54" s="119" t="s">
        <v>53</v>
      </c>
      <c r="M54" s="32" t="s">
        <v>20</v>
      </c>
      <c r="N54" s="55"/>
      <c r="O54" s="55"/>
      <c r="P54" s="55"/>
      <c r="Q54" s="55"/>
      <c r="R54" s="55"/>
      <c r="S54" s="55"/>
      <c r="T54"/>
    </row>
    <row r="55" spans="1:20" s="121" customFormat="1" hidden="1" x14ac:dyDescent="0.45">
      <c r="A55" s="120" t="s">
        <v>22</v>
      </c>
      <c r="B55" s="121" t="s">
        <v>54</v>
      </c>
      <c r="D55" s="122">
        <f>$D11</f>
        <v>120000</v>
      </c>
      <c r="E55" s="122"/>
      <c r="F55" s="123">
        <f>$F11*$Q55</f>
        <v>0</v>
      </c>
      <c r="G55" s="122">
        <f t="shared" ref="G55:G62" si="16">SUM($F55)*$G$8</f>
        <v>0</v>
      </c>
      <c r="H55" s="122">
        <f t="shared" ref="H55:J62" si="17">SUM($F55)*H$8</f>
        <v>0</v>
      </c>
      <c r="I55" s="122" t="e">
        <f t="shared" si="17"/>
        <v>#VALUE!</v>
      </c>
      <c r="J55" s="122">
        <f t="shared" si="17"/>
        <v>0</v>
      </c>
      <c r="K55" s="123"/>
      <c r="L55" s="124">
        <f>$L11*$Q55</f>
        <v>0</v>
      </c>
      <c r="M55" s="122" t="e">
        <f>SUM(F55:L55)</f>
        <v>#VALUE!</v>
      </c>
      <c r="N55" s="125"/>
      <c r="O55" s="125"/>
      <c r="P55" s="125"/>
      <c r="Q55" s="125"/>
      <c r="R55" s="125"/>
      <c r="S55" s="125"/>
      <c r="T55" s="126"/>
    </row>
    <row r="56" spans="1:20" s="128" customFormat="1" hidden="1" x14ac:dyDescent="0.45">
      <c r="A56" s="127" t="s">
        <v>22</v>
      </c>
      <c r="B56" s="127" t="s">
        <v>55</v>
      </c>
      <c r="D56" s="129">
        <f>$D12</f>
        <v>0</v>
      </c>
      <c r="E56" s="129"/>
      <c r="F56" s="130">
        <f>$F12*$Q56</f>
        <v>0</v>
      </c>
      <c r="G56" s="130">
        <f t="shared" si="16"/>
        <v>0</v>
      </c>
      <c r="H56" s="130">
        <f t="shared" si="17"/>
        <v>0</v>
      </c>
      <c r="I56" s="130" t="e">
        <f t="shared" si="17"/>
        <v>#VALUE!</v>
      </c>
      <c r="J56" s="130">
        <f t="shared" si="17"/>
        <v>0</v>
      </c>
      <c r="K56" s="130"/>
      <c r="L56" s="130">
        <f>$L12*$Q56</f>
        <v>0</v>
      </c>
      <c r="M56" s="129" t="e">
        <f>SUM(F56:L56)</f>
        <v>#VALUE!</v>
      </c>
      <c r="N56" s="131"/>
      <c r="O56" s="131"/>
      <c r="P56" s="131"/>
      <c r="Q56" s="131"/>
      <c r="R56" s="131"/>
      <c r="S56" s="131"/>
      <c r="T56" s="132"/>
    </row>
    <row r="57" spans="1:20" hidden="1" x14ac:dyDescent="0.45">
      <c r="A57" s="51" t="s">
        <v>56</v>
      </c>
      <c r="B57" t="s">
        <v>57</v>
      </c>
      <c r="D57" s="15">
        <f>$D13</f>
        <v>60000</v>
      </c>
      <c r="E57" s="15"/>
      <c r="F57" s="133">
        <f>$F13*$Q57</f>
        <v>0</v>
      </c>
      <c r="G57" s="133">
        <f t="shared" si="16"/>
        <v>0</v>
      </c>
      <c r="H57" s="133">
        <f t="shared" si="17"/>
        <v>0</v>
      </c>
      <c r="I57" s="133" t="e">
        <f t="shared" si="17"/>
        <v>#VALUE!</v>
      </c>
      <c r="J57" s="133">
        <f t="shared" si="17"/>
        <v>0</v>
      </c>
      <c r="K57" s="133"/>
      <c r="L57" s="133">
        <f>$L13*$Q57</f>
        <v>0</v>
      </c>
      <c r="M57" s="15" t="e">
        <f>SUM(F57:L57)</f>
        <v>#VALUE!</v>
      </c>
      <c r="N57" s="55"/>
      <c r="O57" s="55"/>
      <c r="P57" s="55"/>
      <c r="Q57" s="55"/>
      <c r="R57" s="55"/>
      <c r="S57" s="55"/>
      <c r="T57" s="56"/>
    </row>
    <row r="58" spans="1:20" hidden="1" x14ac:dyDescent="0.45">
      <c r="A58" s="51" t="s">
        <v>58</v>
      </c>
      <c r="B58" t="s">
        <v>28</v>
      </c>
      <c r="D58" s="79">
        <f>$D14</f>
        <v>55000</v>
      </c>
      <c r="E58" s="79"/>
      <c r="F58" s="134">
        <f>$F14*$Q58</f>
        <v>0</v>
      </c>
      <c r="G58" s="15">
        <f t="shared" si="16"/>
        <v>0</v>
      </c>
      <c r="H58" s="15">
        <f t="shared" si="17"/>
        <v>0</v>
      </c>
      <c r="I58" s="15" t="e">
        <f t="shared" si="17"/>
        <v>#VALUE!</v>
      </c>
      <c r="J58" s="15">
        <f t="shared" si="17"/>
        <v>0</v>
      </c>
      <c r="K58" s="135"/>
      <c r="L58" s="136">
        <f>$L14*$Q58</f>
        <v>0</v>
      </c>
      <c r="M58" s="15" t="e">
        <f t="shared" ref="M58:M62" si="18">SUM(F58:L58)</f>
        <v>#VALUE!</v>
      </c>
      <c r="N58" s="55"/>
      <c r="O58" s="55"/>
      <c r="P58" s="55"/>
      <c r="Q58" s="55"/>
      <c r="R58" s="55"/>
      <c r="S58" s="55"/>
      <c r="T58" s="56"/>
    </row>
    <row r="59" spans="1:20" hidden="1" x14ac:dyDescent="0.45">
      <c r="A59" s="51" t="s">
        <v>25</v>
      </c>
      <c r="B59" t="s">
        <v>32</v>
      </c>
      <c r="D59" s="15">
        <f>$D16</f>
        <v>45000</v>
      </c>
      <c r="E59" s="15"/>
      <c r="F59" s="134">
        <f>$F16*$Q59</f>
        <v>0</v>
      </c>
      <c r="G59" s="15">
        <f t="shared" si="16"/>
        <v>0</v>
      </c>
      <c r="H59" s="15">
        <f t="shared" si="17"/>
        <v>0</v>
      </c>
      <c r="I59" s="15" t="e">
        <f t="shared" si="17"/>
        <v>#VALUE!</v>
      </c>
      <c r="J59" s="15">
        <f t="shared" si="17"/>
        <v>0</v>
      </c>
      <c r="K59" s="15"/>
      <c r="L59" s="137">
        <f>$L16*$Q59</f>
        <v>0</v>
      </c>
      <c r="M59" s="15" t="e">
        <f t="shared" si="18"/>
        <v>#VALUE!</v>
      </c>
      <c r="N59" s="55"/>
      <c r="O59" s="55"/>
      <c r="P59" s="55"/>
      <c r="Q59" s="55"/>
      <c r="R59" s="55"/>
      <c r="S59" s="55"/>
      <c r="T59" s="56"/>
    </row>
    <row r="60" spans="1:20" hidden="1" x14ac:dyDescent="0.45">
      <c r="A60" s="51" t="s">
        <v>47</v>
      </c>
      <c r="B60" t="s">
        <v>32</v>
      </c>
      <c r="D60" s="15">
        <f>$D17</f>
        <v>50393</v>
      </c>
      <c r="E60" s="15"/>
      <c r="F60" s="133">
        <f>$F17*$Q60</f>
        <v>0</v>
      </c>
      <c r="G60" s="133">
        <f t="shared" si="16"/>
        <v>0</v>
      </c>
      <c r="H60" s="133">
        <f t="shared" si="17"/>
        <v>0</v>
      </c>
      <c r="I60" s="133" t="e">
        <f t="shared" si="17"/>
        <v>#VALUE!</v>
      </c>
      <c r="J60" s="133">
        <f t="shared" si="17"/>
        <v>0</v>
      </c>
      <c r="K60" s="133"/>
      <c r="L60" s="133">
        <f>$L17*$Q60</f>
        <v>0</v>
      </c>
      <c r="M60" s="15" t="e">
        <f t="shared" si="18"/>
        <v>#VALUE!</v>
      </c>
      <c r="N60" s="55"/>
      <c r="O60" s="55"/>
      <c r="P60" s="55"/>
      <c r="Q60" s="55"/>
      <c r="R60" s="55"/>
      <c r="S60" s="55"/>
      <c r="T60" s="56"/>
    </row>
    <row r="61" spans="1:20" hidden="1" x14ac:dyDescent="0.45">
      <c r="A61" s="51" t="s">
        <v>34</v>
      </c>
      <c r="B61" t="s">
        <v>59</v>
      </c>
      <c r="D61" s="15">
        <f>$D18</f>
        <v>54000</v>
      </c>
      <c r="E61" s="15"/>
      <c r="F61" s="133">
        <f>$F18*$Q61</f>
        <v>0</v>
      </c>
      <c r="G61" s="133">
        <f t="shared" si="16"/>
        <v>0</v>
      </c>
      <c r="H61" s="133">
        <f t="shared" si="17"/>
        <v>0</v>
      </c>
      <c r="I61" s="133" t="e">
        <f t="shared" si="17"/>
        <v>#VALUE!</v>
      </c>
      <c r="J61" s="133">
        <f t="shared" si="17"/>
        <v>0</v>
      </c>
      <c r="K61" s="133"/>
      <c r="L61" s="133">
        <f>$L18*$Q61</f>
        <v>0</v>
      </c>
      <c r="M61" s="15" t="e">
        <f t="shared" si="18"/>
        <v>#VALUE!</v>
      </c>
      <c r="N61" s="55"/>
      <c r="O61" s="55"/>
      <c r="P61" s="55"/>
      <c r="Q61" s="55"/>
      <c r="R61" s="55"/>
      <c r="S61" s="55"/>
      <c r="T61" s="56"/>
    </row>
    <row r="62" spans="1:20" hidden="1" x14ac:dyDescent="0.45">
      <c r="A62" s="51" t="s">
        <v>31</v>
      </c>
      <c r="B62" t="s">
        <v>36</v>
      </c>
      <c r="D62" s="15">
        <f>$D19</f>
        <v>35360</v>
      </c>
      <c r="E62" s="15"/>
      <c r="F62" s="133">
        <f>$F19*$Q62</f>
        <v>0</v>
      </c>
      <c r="G62" s="133">
        <f t="shared" si="16"/>
        <v>0</v>
      </c>
      <c r="H62" s="133">
        <f t="shared" si="17"/>
        <v>0</v>
      </c>
      <c r="I62" s="133" t="e">
        <f t="shared" si="17"/>
        <v>#VALUE!</v>
      </c>
      <c r="J62" s="133">
        <f t="shared" si="17"/>
        <v>0</v>
      </c>
      <c r="K62" s="133"/>
      <c r="L62" s="133">
        <f>$L19*$Q62</f>
        <v>0</v>
      </c>
      <c r="M62" s="15" t="e">
        <f t="shared" si="18"/>
        <v>#VALUE!</v>
      </c>
      <c r="N62" s="55"/>
      <c r="O62" s="55"/>
      <c r="P62" s="55"/>
      <c r="Q62" s="55"/>
      <c r="R62" s="55"/>
      <c r="S62" s="55"/>
      <c r="T62" s="56"/>
    </row>
    <row r="63" spans="1:20" ht="14.65" hidden="1" thickBot="1" x14ac:dyDescent="0.5">
      <c r="D63" s="138">
        <f t="shared" ref="D63:M63" si="19">SUM(D55:D62)</f>
        <v>419753</v>
      </c>
      <c r="E63" s="138"/>
      <c r="F63" s="139">
        <f t="shared" si="19"/>
        <v>0</v>
      </c>
      <c r="G63" s="138">
        <f t="shared" si="19"/>
        <v>0</v>
      </c>
      <c r="H63" s="138">
        <f t="shared" si="19"/>
        <v>0</v>
      </c>
      <c r="I63" s="138" t="e">
        <f t="shared" si="19"/>
        <v>#VALUE!</v>
      </c>
      <c r="J63" s="138">
        <f t="shared" si="19"/>
        <v>0</v>
      </c>
      <c r="K63" s="138"/>
      <c r="L63" s="140">
        <f t="shared" si="19"/>
        <v>0</v>
      </c>
      <c r="M63" s="138" t="e">
        <f t="shared" si="19"/>
        <v>#VALUE!</v>
      </c>
      <c r="N63" s="55"/>
      <c r="O63" s="55"/>
      <c r="P63" s="55"/>
      <c r="Q63" s="55"/>
      <c r="R63" s="55"/>
      <c r="S63" s="55"/>
      <c r="T63"/>
    </row>
    <row r="64" spans="1:20" x14ac:dyDescent="0.45">
      <c r="C64" t="s">
        <v>60</v>
      </c>
      <c r="D64" s="88"/>
      <c r="E64" s="88"/>
      <c r="F64" s="89">
        <f>F50*10%</f>
        <v>5582.5</v>
      </c>
      <c r="G64" s="88">
        <f>G50*10%</f>
        <v>427.06125000000003</v>
      </c>
      <c r="H64" s="88">
        <f>H50*10%</f>
        <v>792.71500000000003</v>
      </c>
      <c r="I64" s="88">
        <f>I50*10%</f>
        <v>70.17</v>
      </c>
      <c r="J64" s="88">
        <f>J50*10%</f>
        <v>11.72325</v>
      </c>
      <c r="K64" s="88"/>
      <c r="L64" s="90">
        <f>L50*10%</f>
        <v>604.42511999999999</v>
      </c>
      <c r="M64" s="88">
        <f>M50*10%</f>
        <v>7488.5946199999998</v>
      </c>
      <c r="N64" s="55" t="s">
        <v>61</v>
      </c>
      <c r="O64" s="55"/>
      <c r="P64" s="55"/>
      <c r="Q64" s="55"/>
      <c r="R64" s="55"/>
      <c r="S64" s="55"/>
      <c r="T64"/>
    </row>
    <row r="65" spans="2:20" x14ac:dyDescent="0.45">
      <c r="C65" t="s">
        <v>45</v>
      </c>
      <c r="D65" s="88"/>
      <c r="E65" s="88"/>
      <c r="F65" s="89">
        <f>F50*10%</f>
        <v>5582.5</v>
      </c>
      <c r="G65" s="88">
        <f>G50*10%</f>
        <v>427.06125000000003</v>
      </c>
      <c r="H65" s="88">
        <f>H50*10%</f>
        <v>792.71500000000003</v>
      </c>
      <c r="I65" s="88">
        <f>I50*10%</f>
        <v>70.17</v>
      </c>
      <c r="J65" s="88">
        <f>J50*10%</f>
        <v>11.72325</v>
      </c>
      <c r="K65" s="88"/>
      <c r="L65" s="90">
        <f>L50*10%</f>
        <v>604.42511999999999</v>
      </c>
      <c r="M65" s="88">
        <f>M50*10%</f>
        <v>7488.5946199999998</v>
      </c>
      <c r="N65" s="55" t="s">
        <v>45</v>
      </c>
      <c r="O65" s="55"/>
      <c r="P65" s="55"/>
      <c r="Q65" s="55"/>
      <c r="R65" s="55"/>
      <c r="S65" s="55"/>
      <c r="T65"/>
    </row>
    <row r="66" spans="2:20" x14ac:dyDescent="0.45">
      <c r="D66" s="88"/>
      <c r="E66" s="88"/>
      <c r="F66" s="89"/>
      <c r="G66" s="88"/>
      <c r="H66" s="88"/>
      <c r="I66" s="88"/>
      <c r="J66" s="88"/>
      <c r="K66" s="88"/>
      <c r="L66" s="90"/>
      <c r="M66" s="88"/>
      <c r="N66" s="55"/>
      <c r="O66" s="55"/>
      <c r="P66" s="55"/>
      <c r="Q66" s="55"/>
      <c r="R66" s="55"/>
      <c r="S66" s="55"/>
      <c r="T66"/>
    </row>
    <row r="67" spans="2:20" x14ac:dyDescent="0.45">
      <c r="B67" s="5" t="s">
        <v>62</v>
      </c>
      <c r="D67" s="88"/>
      <c r="E67" s="88"/>
      <c r="F67" s="73" t="s">
        <v>42</v>
      </c>
      <c r="G67" s="73" t="s">
        <v>15</v>
      </c>
      <c r="H67" s="73" t="s">
        <v>16</v>
      </c>
      <c r="I67" s="28" t="s">
        <v>17</v>
      </c>
      <c r="J67" s="75" t="s">
        <v>18</v>
      </c>
      <c r="K67" s="88"/>
      <c r="L67" s="31" t="s">
        <v>19</v>
      </c>
      <c r="M67" s="88"/>
      <c r="N67" s="55"/>
      <c r="O67" s="55"/>
      <c r="P67" s="55"/>
      <c r="Q67" s="55"/>
      <c r="R67" s="55"/>
      <c r="S67" s="55"/>
      <c r="T67"/>
    </row>
    <row r="68" spans="2:20" x14ac:dyDescent="0.45">
      <c r="C68" t="s">
        <v>63</v>
      </c>
      <c r="D68" s="88"/>
      <c r="E68" s="141">
        <f>F68/F72</f>
        <v>0.25358321455784621</v>
      </c>
      <c r="F68" s="89">
        <f>+F28+F65</f>
        <v>107582.5</v>
      </c>
      <c r="G68" s="88">
        <f>+G65</f>
        <v>427.06125000000003</v>
      </c>
      <c r="H68" s="88">
        <f>+H65</f>
        <v>792.71500000000003</v>
      </c>
      <c r="I68" s="88">
        <f>+I65</f>
        <v>70.17</v>
      </c>
      <c r="J68" s="88">
        <f>+J65</f>
        <v>11.72325</v>
      </c>
      <c r="K68" s="88"/>
      <c r="L68" s="90">
        <f>+L65</f>
        <v>604.42511999999999</v>
      </c>
      <c r="M68" s="88">
        <f>SUM(F68:L68)</f>
        <v>109488.59461999999</v>
      </c>
      <c r="N68" s="55"/>
      <c r="O68" s="55"/>
      <c r="P68" s="55"/>
      <c r="Q68" s="55"/>
      <c r="R68" s="55"/>
      <c r="S68" s="55"/>
      <c r="T68"/>
    </row>
    <row r="69" spans="2:20" x14ac:dyDescent="0.45">
      <c r="C69" t="s">
        <v>64</v>
      </c>
      <c r="D69" s="88"/>
      <c r="E69" s="141">
        <f>F69/F72</f>
        <v>0.62798995340699393</v>
      </c>
      <c r="F69" s="89">
        <f>+F29+F40</f>
        <v>266424.29500000004</v>
      </c>
      <c r="G69" s="88">
        <f>+G40</f>
        <v>19004.458567500002</v>
      </c>
      <c r="H69" s="88">
        <f>+H40</f>
        <v>35276.249889999999</v>
      </c>
      <c r="I69" s="88">
        <f>+I40</f>
        <v>3508.5</v>
      </c>
      <c r="J69" s="88">
        <f>+J40</f>
        <v>521.69101949999992</v>
      </c>
      <c r="K69" s="88"/>
      <c r="L69" s="90">
        <f>+L40</f>
        <v>22358.876799999998</v>
      </c>
      <c r="M69" s="88">
        <f>SUM(F69:L69)</f>
        <v>347094.07127700001</v>
      </c>
      <c r="N69" s="55"/>
      <c r="O69" s="55"/>
      <c r="P69" s="55"/>
      <c r="Q69" s="55"/>
      <c r="R69" s="55"/>
      <c r="S69" s="55"/>
      <c r="T69"/>
    </row>
    <row r="70" spans="2:20" x14ac:dyDescent="0.45">
      <c r="C70" t="s">
        <v>60</v>
      </c>
      <c r="D70" s="88"/>
      <c r="E70" s="141">
        <f>F70/F72</f>
        <v>1.3158536892795543E-2</v>
      </c>
      <c r="F70" s="89">
        <f>+F65</f>
        <v>5582.5</v>
      </c>
      <c r="G70" s="88">
        <f>+G64</f>
        <v>427.06125000000003</v>
      </c>
      <c r="H70" s="88">
        <f>+H64</f>
        <v>792.71500000000003</v>
      </c>
      <c r="I70" s="88">
        <f>+I64</f>
        <v>70.17</v>
      </c>
      <c r="J70" s="88">
        <f>+J64</f>
        <v>11.72325</v>
      </c>
      <c r="K70" s="88"/>
      <c r="L70" s="90">
        <f>+L64</f>
        <v>604.42511999999999</v>
      </c>
      <c r="M70" s="88">
        <f t="shared" ref="M70:M71" si="20">SUM(F70:L70)</f>
        <v>7488.5946199999998</v>
      </c>
      <c r="N70" s="55"/>
      <c r="O70" s="55"/>
      <c r="P70" s="55"/>
      <c r="Q70" s="55"/>
      <c r="R70" s="55"/>
      <c r="S70" s="55"/>
      <c r="T70"/>
    </row>
    <row r="71" spans="2:20" x14ac:dyDescent="0.45">
      <c r="C71" t="s">
        <v>50</v>
      </c>
      <c r="D71" s="88"/>
      <c r="E71" s="141">
        <f>F71/F72</f>
        <v>0.10526829514236434</v>
      </c>
      <c r="F71" s="74">
        <f>+F51</f>
        <v>44660</v>
      </c>
      <c r="G71" s="142">
        <f>+G51</f>
        <v>3416.4900000000002</v>
      </c>
      <c r="H71" s="142">
        <f>+H51</f>
        <v>6341.72</v>
      </c>
      <c r="I71" s="142">
        <f>+I51</f>
        <v>561.36</v>
      </c>
      <c r="J71" s="142">
        <f>+J51</f>
        <v>93.786000000000001</v>
      </c>
      <c r="K71" s="88"/>
      <c r="L71" s="143">
        <f>+L51</f>
        <v>4835.4009599999999</v>
      </c>
      <c r="M71" s="88">
        <f t="shared" si="20"/>
        <v>59908.756959999999</v>
      </c>
      <c r="N71" s="55"/>
      <c r="O71" s="55"/>
      <c r="P71" s="55"/>
      <c r="Q71" s="55"/>
      <c r="R71" s="55"/>
      <c r="S71" s="55"/>
      <c r="T71"/>
    </row>
    <row r="72" spans="2:20" x14ac:dyDescent="0.45">
      <c r="D72" s="88"/>
      <c r="E72" s="141">
        <f t="shared" ref="E72:J72" si="21">SUM(E68:E71)</f>
        <v>1</v>
      </c>
      <c r="F72" s="89">
        <f t="shared" si="21"/>
        <v>424249.29500000004</v>
      </c>
      <c r="G72" s="88">
        <f t="shared" si="21"/>
        <v>23275.071067500001</v>
      </c>
      <c r="H72" s="88">
        <f t="shared" si="21"/>
        <v>43203.399889999993</v>
      </c>
      <c r="I72" s="88">
        <f t="shared" si="21"/>
        <v>4210.2</v>
      </c>
      <c r="J72" s="88">
        <f t="shared" si="21"/>
        <v>638.92351949999988</v>
      </c>
      <c r="K72" s="88"/>
      <c r="L72" s="90">
        <f>SUM(L68:L71)</f>
        <v>28403.127999999997</v>
      </c>
      <c r="M72" s="88"/>
      <c r="N72" s="55"/>
      <c r="O72" s="55"/>
      <c r="P72" s="55"/>
      <c r="Q72" s="55"/>
      <c r="R72" s="55"/>
      <c r="S72" s="55"/>
      <c r="T72"/>
    </row>
    <row r="73" spans="2:20" x14ac:dyDescent="0.45">
      <c r="D73" s="88"/>
      <c r="E73" s="88"/>
      <c r="F73" s="89"/>
      <c r="G73" s="88"/>
      <c r="H73" s="88"/>
      <c r="I73" s="88"/>
      <c r="J73" s="88"/>
      <c r="K73" s="88"/>
      <c r="L73" s="90"/>
      <c r="M73" s="88"/>
      <c r="N73" s="55"/>
      <c r="O73" s="55"/>
      <c r="P73" s="55"/>
      <c r="Q73" s="55"/>
      <c r="R73" s="55"/>
      <c r="S73" s="55"/>
      <c r="T73"/>
    </row>
    <row r="74" spans="2:20" x14ac:dyDescent="0.45">
      <c r="D74" s="88"/>
      <c r="E74" s="88"/>
      <c r="F74" s="89">
        <f>+F21</f>
        <v>424249.29500000004</v>
      </c>
      <c r="G74" s="88">
        <f>+G40+G50</f>
        <v>23275.071067500001</v>
      </c>
      <c r="H74" s="88">
        <f>+H40+H50</f>
        <v>43203.399890000001</v>
      </c>
      <c r="I74" s="88">
        <f>+I40+I50</f>
        <v>4210.2</v>
      </c>
      <c r="J74" s="88">
        <f>+J40+J50</f>
        <v>638.92351949999988</v>
      </c>
      <c r="K74" s="88"/>
      <c r="L74" s="90">
        <f>+L40+L50</f>
        <v>28403.127999999997</v>
      </c>
      <c r="M74" s="88">
        <f>SUM(F74:L74)</f>
        <v>523980.01747700002</v>
      </c>
      <c r="N74" s="55"/>
      <c r="O74" s="55"/>
      <c r="P74" s="55"/>
      <c r="Q74" s="55"/>
      <c r="R74" s="55"/>
      <c r="S74" s="55"/>
      <c r="T74"/>
    </row>
    <row r="75" spans="2:20" x14ac:dyDescent="0.45">
      <c r="D75" s="88"/>
      <c r="E75" s="88"/>
      <c r="F75" s="89"/>
      <c r="G75" s="88"/>
      <c r="H75" s="88"/>
      <c r="I75" s="88"/>
      <c r="J75" s="88"/>
      <c r="K75" s="88"/>
      <c r="L75" s="90"/>
      <c r="M75" s="88"/>
      <c r="N75" s="55"/>
      <c r="O75" s="55"/>
      <c r="P75" s="55"/>
      <c r="Q75" s="55"/>
      <c r="R75" s="55"/>
      <c r="S75" s="55"/>
      <c r="T75"/>
    </row>
    <row r="76" spans="2:20" x14ac:dyDescent="0.45">
      <c r="D76" s="88"/>
      <c r="E76" s="88"/>
      <c r="F76" s="89"/>
      <c r="G76" s="88"/>
      <c r="H76" s="88"/>
      <c r="I76" s="88"/>
      <c r="J76" s="88"/>
      <c r="K76" s="88"/>
      <c r="L76" s="90"/>
      <c r="M76" s="88"/>
      <c r="N76" s="55"/>
      <c r="O76" s="55"/>
      <c r="P76" s="55"/>
      <c r="Q76" s="55"/>
      <c r="R76" s="55"/>
      <c r="S76" s="55"/>
      <c r="T76"/>
    </row>
    <row r="77" spans="2:20" x14ac:dyDescent="0.45">
      <c r="D77" s="88"/>
      <c r="E77" s="88"/>
      <c r="F77" s="89"/>
      <c r="G77" s="88"/>
      <c r="H77" s="88"/>
      <c r="I77" s="88"/>
      <c r="J77" s="88"/>
      <c r="K77" s="88"/>
      <c r="L77" s="90"/>
      <c r="M77" s="88"/>
      <c r="N77" s="55"/>
      <c r="O77" s="55"/>
      <c r="P77" s="55"/>
      <c r="Q77" s="55"/>
      <c r="R77" s="55"/>
      <c r="S77" s="55"/>
      <c r="T77"/>
    </row>
    <row r="78" spans="2:20" x14ac:dyDescent="0.45">
      <c r="D78" s="88"/>
      <c r="E78" s="88"/>
      <c r="F78" s="89"/>
      <c r="G78" s="88"/>
      <c r="H78" s="88"/>
      <c r="I78" s="88"/>
      <c r="J78" s="88"/>
      <c r="K78" s="88"/>
      <c r="L78" s="90"/>
      <c r="M78" s="88"/>
      <c r="N78" s="55"/>
      <c r="O78" s="55"/>
      <c r="P78" s="55"/>
      <c r="Q78" s="55"/>
      <c r="R78" s="55"/>
      <c r="S78" s="55"/>
      <c r="T78"/>
    </row>
    <row r="79" spans="2:20" x14ac:dyDescent="0.45">
      <c r="D79" s="88"/>
      <c r="E79" s="88"/>
      <c r="F79" s="89"/>
      <c r="G79" s="88"/>
      <c r="H79" s="88"/>
      <c r="I79" s="88"/>
      <c r="J79" s="88"/>
      <c r="K79" s="88"/>
      <c r="L79" s="90"/>
      <c r="M79" s="88"/>
      <c r="N79" s="55"/>
      <c r="O79" s="55"/>
      <c r="P79" s="55"/>
      <c r="Q79" s="55"/>
      <c r="R79" s="55"/>
      <c r="S79" s="55"/>
      <c r="T79"/>
    </row>
    <row r="80" spans="2:20" x14ac:dyDescent="0.45">
      <c r="D80" s="88"/>
      <c r="E80" s="88"/>
      <c r="F80" s="89">
        <f>+F27+F40+F50</f>
        <v>424249.29500000004</v>
      </c>
      <c r="G80" s="88">
        <f>'[1]Total budget'!E36</f>
        <v>5000</v>
      </c>
      <c r="H80" s="88"/>
      <c r="I80" s="88"/>
      <c r="J80" s="88"/>
      <c r="K80" s="88"/>
      <c r="L80" s="90"/>
      <c r="M80" s="88">
        <f>+M27+M40+M50</f>
        <v>523980.01747700002</v>
      </c>
      <c r="N80" s="55"/>
      <c r="O80" s="55"/>
      <c r="P80" s="55"/>
      <c r="Q80" s="55"/>
      <c r="R80" s="55"/>
      <c r="S80" s="55"/>
      <c r="T80"/>
    </row>
    <row r="81" spans="1:20" x14ac:dyDescent="0.45">
      <c r="D81" s="88"/>
      <c r="E81" s="88"/>
      <c r="F81" s="89"/>
      <c r="G81" s="88"/>
      <c r="H81" s="88"/>
      <c r="I81" s="88"/>
      <c r="J81" s="88"/>
      <c r="K81" s="88"/>
      <c r="L81" s="90"/>
      <c r="M81" s="88"/>
      <c r="N81" s="55"/>
      <c r="O81" s="55"/>
      <c r="P81" s="55"/>
      <c r="Q81" s="55"/>
      <c r="R81" s="55"/>
      <c r="S81" s="55"/>
      <c r="T81"/>
    </row>
    <row r="82" spans="1:20" x14ac:dyDescent="0.45">
      <c r="D82" s="88"/>
      <c r="E82" s="88"/>
      <c r="F82" s="144">
        <f>F27/F80</f>
        <v>0.28285256195888314</v>
      </c>
      <c r="G82" s="88">
        <f>F82*G80</f>
        <v>1414.2628097944157</v>
      </c>
      <c r="H82" s="88"/>
      <c r="I82" s="88"/>
      <c r="J82" s="88"/>
      <c r="K82" s="88"/>
      <c r="L82" s="90"/>
      <c r="M82" s="88"/>
      <c r="N82" s="55"/>
      <c r="O82" s="55"/>
      <c r="P82" s="55"/>
      <c r="Q82" s="55"/>
      <c r="R82" s="55"/>
      <c r="S82" s="55"/>
      <c r="T82"/>
    </row>
    <row r="83" spans="1:20" x14ac:dyDescent="0.45">
      <c r="D83" s="15"/>
      <c r="E83" s="15"/>
      <c r="F83" s="145">
        <f>F40/F80</f>
        <v>0.58556206911316133</v>
      </c>
      <c r="G83" s="15">
        <f>F83*G80</f>
        <v>2927.8103455658065</v>
      </c>
      <c r="H83" s="15"/>
      <c r="I83" s="15"/>
      <c r="J83" s="15"/>
      <c r="K83" s="15"/>
      <c r="L83" s="15"/>
      <c r="M83" s="15">
        <f>+M21-M80</f>
        <v>16563</v>
      </c>
      <c r="N83" s="55"/>
      <c r="O83" s="55"/>
      <c r="P83" s="55"/>
      <c r="Q83" s="55"/>
      <c r="R83" s="55"/>
      <c r="S83" s="55"/>
      <c r="T83"/>
    </row>
    <row r="84" spans="1:20" x14ac:dyDescent="0.45">
      <c r="D84" s="15"/>
      <c r="E84" s="15"/>
      <c r="F84" s="146">
        <f>F50/F80</f>
        <v>0.13158536892795542</v>
      </c>
      <c r="G84" s="15">
        <f>F84*G80</f>
        <v>657.92684463977707</v>
      </c>
      <c r="H84" s="15"/>
      <c r="I84" s="15"/>
      <c r="J84" s="15"/>
      <c r="K84" s="15"/>
      <c r="L84" s="15"/>
      <c r="M84" s="15"/>
      <c r="N84" s="55"/>
      <c r="O84" s="55"/>
      <c r="P84" s="55"/>
      <c r="Q84" s="55"/>
      <c r="R84" s="55"/>
      <c r="S84" s="55"/>
      <c r="T84"/>
    </row>
    <row r="85" spans="1:20" x14ac:dyDescent="0.45">
      <c r="B85" t="s">
        <v>65</v>
      </c>
      <c r="D85" s="15"/>
      <c r="E85" s="15"/>
      <c r="F85" s="147">
        <f>SUM(F82:F84)</f>
        <v>0.99999999999999978</v>
      </c>
      <c r="G85" s="15"/>
      <c r="H85" s="15"/>
      <c r="I85" s="15"/>
      <c r="J85" s="15"/>
      <c r="K85" s="15"/>
      <c r="L85" s="15"/>
      <c r="M85" s="147">
        <v>0.26</v>
      </c>
      <c r="N85" s="55"/>
      <c r="O85" s="55"/>
      <c r="P85" s="55"/>
      <c r="Q85" s="55"/>
      <c r="R85" s="55"/>
      <c r="S85" s="55"/>
      <c r="T85"/>
    </row>
    <row r="86" spans="1:20" x14ac:dyDescent="0.45">
      <c r="A86" t="s">
        <v>25</v>
      </c>
      <c r="B86" t="s">
        <v>66</v>
      </c>
      <c r="D86" s="15"/>
      <c r="E86" s="15"/>
      <c r="F86" s="15"/>
      <c r="G86" s="15"/>
      <c r="H86" s="15"/>
      <c r="I86" s="15"/>
      <c r="J86" s="15"/>
      <c r="K86" s="15"/>
      <c r="L86" s="15"/>
      <c r="M86" s="15">
        <f>M80*M85</f>
        <v>136234.80454402001</v>
      </c>
      <c r="N86" s="55"/>
      <c r="O86" s="55"/>
      <c r="P86" s="55"/>
      <c r="Q86" s="55"/>
      <c r="R86" s="55"/>
      <c r="S86" s="55"/>
      <c r="T86"/>
    </row>
    <row r="87" spans="1:20" x14ac:dyDescent="0.45">
      <c r="B87" t="s">
        <v>67</v>
      </c>
      <c r="D87" s="15"/>
      <c r="E87" s="15"/>
      <c r="F87" s="15"/>
      <c r="G87" s="15" t="s">
        <v>0</v>
      </c>
      <c r="H87" s="15">
        <v>39000</v>
      </c>
      <c r="I87" s="15"/>
      <c r="J87" s="15"/>
      <c r="K87" s="15"/>
      <c r="L87" s="15"/>
      <c r="M87" s="15"/>
      <c r="N87" s="55"/>
      <c r="O87" s="55"/>
      <c r="P87" s="55"/>
      <c r="Q87" s="55"/>
      <c r="R87" s="55"/>
      <c r="S87" s="55"/>
      <c r="T87"/>
    </row>
    <row r="88" spans="1:20" x14ac:dyDescent="0.45">
      <c r="B88" t="s">
        <v>68</v>
      </c>
      <c r="D88" s="15"/>
      <c r="E88" s="15"/>
      <c r="F88" s="147">
        <f>1/7</f>
        <v>0.14285714285714285</v>
      </c>
      <c r="G88" s="15">
        <f>F88*H87</f>
        <v>5571.4285714285716</v>
      </c>
      <c r="H88" s="15"/>
      <c r="I88" s="15"/>
      <c r="J88" s="15"/>
      <c r="K88" s="15"/>
      <c r="L88" s="15"/>
      <c r="M88" s="15"/>
      <c r="N88" s="55"/>
      <c r="O88" s="55"/>
      <c r="P88" s="55"/>
      <c r="Q88" s="55"/>
      <c r="R88" s="55"/>
      <c r="S88" s="55"/>
      <c r="T88"/>
    </row>
    <row r="89" spans="1:20" x14ac:dyDescent="0.45">
      <c r="B89" t="s">
        <v>69</v>
      </c>
      <c r="D89" s="15"/>
      <c r="E89" s="15"/>
      <c r="F89" s="147">
        <f>5/7</f>
        <v>0.7142857142857143</v>
      </c>
      <c r="G89" s="15">
        <f>F89*H87</f>
        <v>27857.142857142859</v>
      </c>
      <c r="H89" s="15"/>
      <c r="I89" s="15"/>
      <c r="J89" s="15"/>
      <c r="K89" s="15"/>
      <c r="L89" s="15"/>
      <c r="M89" s="15"/>
      <c r="N89" s="55"/>
      <c r="O89" s="55"/>
      <c r="P89" s="55"/>
      <c r="Q89" s="55"/>
      <c r="R89" s="55"/>
      <c r="S89" s="55"/>
      <c r="T89"/>
    </row>
    <row r="90" spans="1:20" x14ac:dyDescent="0.45">
      <c r="B90" t="s">
        <v>70</v>
      </c>
      <c r="D90" s="15"/>
      <c r="E90" s="15"/>
      <c r="F90" s="147">
        <f>1/7</f>
        <v>0.14285714285714285</v>
      </c>
      <c r="G90" s="15">
        <f>F90*H87</f>
        <v>5571.4285714285716</v>
      </c>
      <c r="H90" s="15"/>
      <c r="I90" s="15"/>
      <c r="J90" s="15"/>
      <c r="K90" s="15"/>
      <c r="L90" s="15"/>
      <c r="M90" s="15"/>
      <c r="T90"/>
    </row>
    <row r="91" spans="1:20" x14ac:dyDescent="0.45">
      <c r="B91" t="s">
        <v>71</v>
      </c>
      <c r="D91" s="15"/>
      <c r="E91" s="15"/>
      <c r="F91" s="15"/>
      <c r="G91" s="15"/>
      <c r="H91" s="15"/>
      <c r="I91" s="15"/>
      <c r="J91" s="15"/>
      <c r="K91" s="15"/>
      <c r="L91" s="15"/>
      <c r="M91" s="15"/>
      <c r="T91"/>
    </row>
    <row r="92" spans="1:20" x14ac:dyDescent="0.45">
      <c r="B92" t="s">
        <v>72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T92"/>
    </row>
    <row r="93" spans="1:20" x14ac:dyDescent="0.45">
      <c r="B93" t="s">
        <v>73</v>
      </c>
      <c r="D93" s="15"/>
      <c r="E93" s="15"/>
      <c r="F93" s="16"/>
      <c r="G93" s="16"/>
      <c r="H93" s="16"/>
      <c r="I93" s="16"/>
      <c r="J93" s="16"/>
      <c r="K93" s="16"/>
      <c r="L93" s="15"/>
      <c r="M93" s="16"/>
      <c r="T93"/>
    </row>
    <row r="94" spans="1:20" x14ac:dyDescent="0.45">
      <c r="B94" t="s">
        <v>74</v>
      </c>
      <c r="D94" s="15"/>
      <c r="E94" s="15"/>
      <c r="F94" s="16"/>
      <c r="G94" s="15"/>
      <c r="H94" s="15"/>
      <c r="I94" s="15"/>
      <c r="J94" s="15"/>
      <c r="K94" s="15"/>
      <c r="L94" s="15"/>
      <c r="M94" s="69"/>
      <c r="T94"/>
    </row>
    <row r="95" spans="1:20" x14ac:dyDescent="0.45">
      <c r="D95" s="15"/>
      <c r="E95" s="15"/>
      <c r="F95" s="16"/>
      <c r="G95" s="15"/>
      <c r="H95" s="15"/>
      <c r="I95" s="15"/>
      <c r="J95" s="15"/>
      <c r="K95" s="15"/>
      <c r="L95" s="69"/>
      <c r="M95" s="69"/>
      <c r="T95"/>
    </row>
    <row r="96" spans="1:20" x14ac:dyDescent="0.45">
      <c r="B96" t="s">
        <v>75</v>
      </c>
      <c r="D96" s="15"/>
      <c r="E96" s="15"/>
      <c r="F96" s="16"/>
      <c r="G96" s="15"/>
      <c r="H96" s="15"/>
      <c r="I96" s="15"/>
      <c r="J96" s="15"/>
      <c r="K96" s="15"/>
      <c r="L96" s="69"/>
      <c r="M96" s="69"/>
      <c r="T96"/>
    </row>
    <row r="97" spans="1:20" x14ac:dyDescent="0.45">
      <c r="B97" t="s">
        <v>76</v>
      </c>
      <c r="D97" s="15"/>
      <c r="E97" s="15"/>
      <c r="F97" s="16"/>
      <c r="G97" s="15"/>
      <c r="H97" s="15"/>
      <c r="I97" s="15"/>
      <c r="J97" s="15"/>
      <c r="K97" s="15"/>
      <c r="L97" s="69"/>
      <c r="M97" s="69"/>
      <c r="T97"/>
    </row>
    <row r="98" spans="1:20" x14ac:dyDescent="0.45">
      <c r="B98" t="s">
        <v>77</v>
      </c>
      <c r="D98" s="15"/>
      <c r="E98" s="15"/>
      <c r="F98" s="16"/>
      <c r="G98" s="15"/>
      <c r="H98" s="15"/>
      <c r="I98" s="15"/>
      <c r="J98" s="15"/>
      <c r="K98" s="15"/>
      <c r="L98" s="69"/>
      <c r="M98" s="69"/>
      <c r="T98"/>
    </row>
    <row r="99" spans="1:20" x14ac:dyDescent="0.45">
      <c r="B99" t="s">
        <v>78</v>
      </c>
      <c r="D99" s="15"/>
      <c r="E99" s="15"/>
      <c r="F99" s="16"/>
      <c r="G99" s="15"/>
      <c r="H99" s="15"/>
      <c r="I99" s="15"/>
      <c r="J99" s="15"/>
      <c r="K99" s="15"/>
      <c r="L99" s="69"/>
    </row>
    <row r="100" spans="1:20" x14ac:dyDescent="0.45">
      <c r="B100" t="s">
        <v>79</v>
      </c>
      <c r="D100" s="15"/>
      <c r="E100" s="15"/>
      <c r="F100" s="16"/>
      <c r="G100" s="15"/>
      <c r="H100" s="15"/>
      <c r="I100" s="15"/>
      <c r="J100" s="15"/>
      <c r="K100" s="15"/>
      <c r="L100" s="69"/>
      <c r="N100"/>
      <c r="O100"/>
      <c r="P100"/>
      <c r="Q100"/>
      <c r="R100"/>
      <c r="S100"/>
      <c r="T100"/>
    </row>
    <row r="101" spans="1:20" x14ac:dyDescent="0.45">
      <c r="B101" t="s">
        <v>80</v>
      </c>
      <c r="D101" s="15"/>
      <c r="E101" s="15"/>
      <c r="F101" s="16"/>
      <c r="G101" s="15"/>
      <c r="H101" s="15"/>
      <c r="I101" s="15"/>
      <c r="J101" s="15"/>
      <c r="K101" s="15"/>
      <c r="L101" s="69"/>
      <c r="N101"/>
      <c r="O101"/>
      <c r="P101"/>
      <c r="Q101"/>
      <c r="R101"/>
      <c r="S101"/>
      <c r="T101"/>
    </row>
    <row r="102" spans="1:20" x14ac:dyDescent="0.45">
      <c r="B102" t="s">
        <v>81</v>
      </c>
      <c r="D102" s="15"/>
      <c r="E102" s="15"/>
      <c r="F102" s="16"/>
      <c r="G102" s="15"/>
      <c r="H102" s="15"/>
      <c r="I102" s="15"/>
      <c r="J102" s="15"/>
      <c r="K102" s="15"/>
      <c r="L102" s="69"/>
      <c r="N102"/>
      <c r="O102"/>
      <c r="P102"/>
      <c r="Q102"/>
      <c r="R102"/>
      <c r="S102"/>
      <c r="T102"/>
    </row>
    <row r="103" spans="1:20" x14ac:dyDescent="0.45">
      <c r="B103" t="s">
        <v>82</v>
      </c>
      <c r="D103" s="15"/>
      <c r="E103" s="15"/>
      <c r="F103" s="16" t="s">
        <v>83</v>
      </c>
      <c r="G103" s="15"/>
      <c r="H103" s="15"/>
      <c r="I103" s="15"/>
      <c r="J103" s="15"/>
      <c r="K103" s="15"/>
      <c r="L103" s="69"/>
      <c r="N103"/>
      <c r="O103"/>
      <c r="P103"/>
      <c r="Q103"/>
      <c r="R103"/>
      <c r="S103"/>
      <c r="T103"/>
    </row>
    <row r="104" spans="1:20" x14ac:dyDescent="0.45">
      <c r="B104" t="s">
        <v>84</v>
      </c>
      <c r="D104" s="15"/>
      <c r="E104" s="15"/>
      <c r="F104" s="16"/>
      <c r="G104" s="15"/>
      <c r="H104" s="15"/>
      <c r="I104" s="15"/>
      <c r="J104" s="15"/>
      <c r="K104" s="15"/>
      <c r="L104" s="69"/>
      <c r="N104"/>
      <c r="O104"/>
      <c r="P104"/>
      <c r="Q104"/>
      <c r="R104"/>
      <c r="S104"/>
      <c r="T104"/>
    </row>
    <row r="106" spans="1:20" x14ac:dyDescent="0.45">
      <c r="B106" t="s">
        <v>85</v>
      </c>
      <c r="M106" s="62"/>
      <c r="N106"/>
      <c r="O106"/>
      <c r="P106"/>
      <c r="Q106"/>
      <c r="R106"/>
      <c r="S106"/>
      <c r="T106"/>
    </row>
    <row r="107" spans="1:20" x14ac:dyDescent="0.45">
      <c r="B107" t="s">
        <v>86</v>
      </c>
      <c r="M107" s="62"/>
      <c r="N107"/>
      <c r="O107"/>
      <c r="P107"/>
      <c r="Q107"/>
      <c r="R107"/>
      <c r="S107"/>
      <c r="T107"/>
    </row>
    <row r="108" spans="1:20" x14ac:dyDescent="0.45">
      <c r="A108" t="s">
        <v>40</v>
      </c>
    </row>
    <row r="109" spans="1:20" x14ac:dyDescent="0.45">
      <c r="B109" t="s">
        <v>87</v>
      </c>
    </row>
    <row r="110" spans="1:20" x14ac:dyDescent="0.45">
      <c r="B110" t="s">
        <v>88</v>
      </c>
      <c r="E110" t="s">
        <v>89</v>
      </c>
    </row>
    <row r="111" spans="1:20" x14ac:dyDescent="0.45">
      <c r="B111" t="s">
        <v>90</v>
      </c>
    </row>
    <row r="112" spans="1:20" x14ac:dyDescent="0.45">
      <c r="B112" t="s">
        <v>91</v>
      </c>
    </row>
    <row r="113" spans="2:2" x14ac:dyDescent="0.45">
      <c r="B113" t="s">
        <v>92</v>
      </c>
    </row>
    <row r="114" spans="2:2" x14ac:dyDescent="0.45">
      <c r="B114" t="s">
        <v>93</v>
      </c>
    </row>
    <row r="115" spans="2:2" x14ac:dyDescent="0.45">
      <c r="B115" t="s">
        <v>94</v>
      </c>
    </row>
    <row r="116" spans="2:2" x14ac:dyDescent="0.45">
      <c r="B116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E0A-37D0-4DE9-85B7-7BEC8731D519}">
  <dimension ref="A1:X304"/>
  <sheetViews>
    <sheetView topLeftCell="A7" workbookViewId="0">
      <pane xSplit="6" ySplit="9" topLeftCell="T61" activePane="bottomRight" state="frozen"/>
      <selection activeCell="A7" sqref="A7"/>
      <selection pane="topRight" activeCell="G7" sqref="G7"/>
      <selection pane="bottomLeft" activeCell="A16" sqref="A16"/>
      <selection pane="bottomRight" activeCell="T7" sqref="T1:T1048576"/>
    </sheetView>
  </sheetViews>
  <sheetFormatPr defaultColWidth="8.86328125" defaultRowHeight="15.75" x14ac:dyDescent="0.5"/>
  <cols>
    <col min="1" max="1" width="3.59765625" customWidth="1"/>
    <col min="2" max="2" width="8.1328125" style="148" customWidth="1"/>
    <col min="3" max="3" width="47.86328125" style="149" customWidth="1"/>
    <col min="4" max="4" width="6.1328125" style="149" customWidth="1"/>
    <col min="5" max="5" width="20.53125" style="150" customWidth="1"/>
    <col min="6" max="6" width="10.9296875" style="150" customWidth="1"/>
    <col min="7" max="7" width="3.59765625" style="150" customWidth="1"/>
    <col min="8" max="8" width="17.6640625" style="150" customWidth="1"/>
    <col min="9" max="9" width="3.59765625" style="150" customWidth="1"/>
    <col min="10" max="10" width="15.59765625" style="150" customWidth="1"/>
    <col min="11" max="11" width="18.06640625" customWidth="1"/>
    <col min="12" max="19" width="15.59765625" customWidth="1"/>
    <col min="20" max="20" width="31.9296875" customWidth="1"/>
    <col min="21" max="23" width="10.86328125" customWidth="1"/>
    <col min="24" max="24" width="12.1328125" bestFit="1" customWidth="1"/>
  </cols>
  <sheetData>
    <row r="1" spans="2:21" hidden="1" x14ac:dyDescent="0.5">
      <c r="H1" s="151">
        <f>J1/J5</f>
        <v>0.15998207483755322</v>
      </c>
      <c r="I1" s="151"/>
      <c r="J1" s="152">
        <v>2142</v>
      </c>
      <c r="K1" t="s">
        <v>50</v>
      </c>
      <c r="L1" s="52">
        <f>20000*H1</f>
        <v>3199.6414967510646</v>
      </c>
      <c r="M1" t="s">
        <v>50</v>
      </c>
    </row>
    <row r="2" spans="2:21" hidden="1" x14ac:dyDescent="0.5">
      <c r="H2" s="151">
        <f>J2/J5</f>
        <v>6.9982821719321825E-2</v>
      </c>
      <c r="I2" s="151"/>
      <c r="J2" s="152">
        <v>937</v>
      </c>
      <c r="K2" t="s">
        <v>96</v>
      </c>
      <c r="L2" s="52">
        <f t="shared" ref="L2:L4" si="0">20000*H2</f>
        <v>1399.6564343864366</v>
      </c>
      <c r="M2" t="s">
        <v>96</v>
      </c>
      <c r="P2" s="52">
        <v>100000</v>
      </c>
      <c r="Q2" t="s">
        <v>97</v>
      </c>
      <c r="R2" t="s">
        <v>60</v>
      </c>
      <c r="S2" s="52"/>
      <c r="T2" s="52">
        <v>79276</v>
      </c>
      <c r="U2" t="s">
        <v>60</v>
      </c>
    </row>
    <row r="3" spans="2:21" hidden="1" x14ac:dyDescent="0.5">
      <c r="H3" s="151">
        <f>J3/J5</f>
        <v>0.29001419075360368</v>
      </c>
      <c r="I3" s="151"/>
      <c r="J3" s="152">
        <v>3883</v>
      </c>
      <c r="K3" t="s">
        <v>64</v>
      </c>
      <c r="L3" s="52">
        <f t="shared" si="0"/>
        <v>5800.2838150720736</v>
      </c>
      <c r="M3" t="s">
        <v>64</v>
      </c>
      <c r="P3" s="52">
        <v>4177</v>
      </c>
      <c r="Q3" t="s">
        <v>50</v>
      </c>
      <c r="S3" s="153"/>
      <c r="T3" s="153">
        <f>-T21</f>
        <v>-79276</v>
      </c>
    </row>
    <row r="4" spans="2:21" hidden="1" x14ac:dyDescent="0.5">
      <c r="H4" s="154">
        <f>J4/J5</f>
        <v>0.48002091268952124</v>
      </c>
      <c r="I4" s="154"/>
      <c r="J4" s="155">
        <v>6427</v>
      </c>
      <c r="K4" t="s">
        <v>45</v>
      </c>
      <c r="L4" s="153">
        <f t="shared" si="0"/>
        <v>9600.4182537904253</v>
      </c>
      <c r="M4" t="s">
        <v>45</v>
      </c>
      <c r="P4" s="52">
        <v>12578</v>
      </c>
      <c r="Q4" t="s">
        <v>98</v>
      </c>
      <c r="S4" s="52"/>
      <c r="T4" s="52">
        <f>SUM(T2:T3)</f>
        <v>0</v>
      </c>
    </row>
    <row r="5" spans="2:21" hidden="1" x14ac:dyDescent="0.5">
      <c r="H5" s="151">
        <f>SUM(H1:H4)</f>
        <v>1</v>
      </c>
      <c r="I5" s="151"/>
      <c r="J5" s="152">
        <f>SUM(J1:J4)</f>
        <v>13389</v>
      </c>
      <c r="L5" s="52">
        <f>SUM(L1:L4)</f>
        <v>20000</v>
      </c>
      <c r="P5" s="153">
        <v>4000</v>
      </c>
      <c r="Q5" t="s">
        <v>99</v>
      </c>
      <c r="S5" s="52"/>
    </row>
    <row r="6" spans="2:21" ht="16.149999999999999" hidden="1" thickBot="1" x14ac:dyDescent="0.55000000000000004">
      <c r="P6" s="156">
        <f>SUM(P2:P5)</f>
        <v>120755</v>
      </c>
      <c r="Q6" t="s">
        <v>100</v>
      </c>
    </row>
    <row r="7" spans="2:21" x14ac:dyDescent="0.5">
      <c r="P7" s="52"/>
    </row>
    <row r="8" spans="2:21" x14ac:dyDescent="0.5">
      <c r="P8" s="52"/>
    </row>
    <row r="9" spans="2:21" x14ac:dyDescent="0.5">
      <c r="P9" s="52"/>
    </row>
    <row r="10" spans="2:21" x14ac:dyDescent="0.5">
      <c r="H10"/>
      <c r="I10"/>
      <c r="J10"/>
    </row>
    <row r="11" spans="2:21" x14ac:dyDescent="0.5">
      <c r="H11"/>
      <c r="I11"/>
      <c r="J11"/>
    </row>
    <row r="12" spans="2:21" x14ac:dyDescent="0.5">
      <c r="H12"/>
      <c r="I12"/>
      <c r="J12"/>
    </row>
    <row r="13" spans="2:21" x14ac:dyDescent="0.5">
      <c r="H13"/>
      <c r="I13"/>
      <c r="J13"/>
    </row>
    <row r="14" spans="2:21" x14ac:dyDescent="0.5">
      <c r="H14"/>
      <c r="I14"/>
      <c r="J14"/>
    </row>
    <row r="15" spans="2:21" ht="67.5" customHeight="1" x14ac:dyDescent="0.5">
      <c r="C15" s="157"/>
      <c r="D15" s="157"/>
      <c r="E15" s="158" t="s">
        <v>182</v>
      </c>
      <c r="F15" s="159" t="s">
        <v>101</v>
      </c>
      <c r="G15" s="159"/>
      <c r="H15" s="160" t="s">
        <v>183</v>
      </c>
      <c r="I15" s="158"/>
      <c r="J15" s="161" t="s">
        <v>45</v>
      </c>
      <c r="K15" s="162" t="s">
        <v>102</v>
      </c>
      <c r="L15" s="162" t="s">
        <v>103</v>
      </c>
      <c r="M15" s="162" t="s">
        <v>96</v>
      </c>
      <c r="N15" s="162" t="s">
        <v>104</v>
      </c>
      <c r="O15" s="162" t="s">
        <v>60</v>
      </c>
      <c r="P15" s="162" t="s">
        <v>50</v>
      </c>
      <c r="Q15" s="162" t="s">
        <v>98</v>
      </c>
      <c r="R15" s="163" t="s">
        <v>46</v>
      </c>
      <c r="S15" s="163" t="s">
        <v>105</v>
      </c>
      <c r="T15" s="162" t="s">
        <v>106</v>
      </c>
    </row>
    <row r="16" spans="2:21" s="167" customFormat="1" ht="24.4" customHeight="1" x14ac:dyDescent="0.5">
      <c r="B16" s="164" t="s">
        <v>107</v>
      </c>
      <c r="C16" s="165" t="s">
        <v>108</v>
      </c>
      <c r="D16" s="165"/>
      <c r="E16" s="166"/>
      <c r="H16" s="168"/>
      <c r="I16" s="166"/>
      <c r="J16" s="166"/>
      <c r="O16" s="169"/>
    </row>
    <row r="17" spans="1:24" x14ac:dyDescent="0.5">
      <c r="A17" s="170"/>
      <c r="B17" s="171">
        <v>4110</v>
      </c>
      <c r="C17" s="172" t="s">
        <v>109</v>
      </c>
      <c r="D17" s="172"/>
      <c r="E17" s="175">
        <v>1240420</v>
      </c>
      <c r="F17" s="174">
        <v>610516</v>
      </c>
      <c r="G17" s="174"/>
      <c r="I17" s="173"/>
      <c r="J17" s="176" t="s">
        <v>0</v>
      </c>
      <c r="K17" s="177"/>
      <c r="L17" s="177"/>
      <c r="M17" s="177"/>
      <c r="N17" s="177"/>
      <c r="O17" s="177" t="s">
        <v>0</v>
      </c>
      <c r="P17" s="177">
        <v>46608</v>
      </c>
      <c r="Q17" s="177">
        <v>13000</v>
      </c>
      <c r="R17" s="177">
        <v>996370</v>
      </c>
      <c r="S17" s="177">
        <v>0</v>
      </c>
      <c r="T17" s="174">
        <f>SUM(J17:S17)</f>
        <v>1055978</v>
      </c>
      <c r="U17" s="52">
        <f>SUM(P17:T17)</f>
        <v>2111956</v>
      </c>
      <c r="V17" s="178">
        <f>+T17</f>
        <v>1055978</v>
      </c>
      <c r="X17" s="7"/>
    </row>
    <row r="18" spans="1:24" x14ac:dyDescent="0.5">
      <c r="A18" s="170"/>
      <c r="B18" s="171"/>
      <c r="C18" s="172" t="s">
        <v>110</v>
      </c>
      <c r="D18" s="172"/>
      <c r="E18" s="181">
        <v>0</v>
      </c>
      <c r="F18" s="180"/>
      <c r="G18" s="180"/>
      <c r="I18" s="173"/>
      <c r="J18" s="176">
        <v>164774</v>
      </c>
      <c r="K18" s="177"/>
      <c r="L18" s="177"/>
      <c r="M18" s="177"/>
      <c r="N18" s="177"/>
      <c r="O18" s="177"/>
      <c r="P18" s="177"/>
      <c r="Q18" s="177"/>
      <c r="R18" s="177"/>
      <c r="S18" s="177"/>
      <c r="T18" s="182">
        <v>109575</v>
      </c>
      <c r="V18" s="178">
        <f>+T18</f>
        <v>109575</v>
      </c>
      <c r="X18" s="7"/>
    </row>
    <row r="19" spans="1:24" x14ac:dyDescent="0.5">
      <c r="A19" s="170"/>
      <c r="B19" s="171"/>
      <c r="C19" s="172" t="s">
        <v>111</v>
      </c>
      <c r="D19" s="172"/>
      <c r="E19" s="181"/>
      <c r="F19" s="180"/>
      <c r="G19" s="180"/>
      <c r="I19" s="173"/>
      <c r="J19" s="179"/>
      <c r="K19" s="180"/>
      <c r="L19" s="180"/>
      <c r="M19" s="180"/>
      <c r="N19" s="180"/>
      <c r="O19" s="180"/>
      <c r="P19" s="180"/>
      <c r="Q19" s="180">
        <v>40000</v>
      </c>
      <c r="R19" s="180"/>
      <c r="S19" s="180"/>
      <c r="T19" s="182">
        <f t="shared" ref="T19:T24" si="1">SUM(J19:S19)</f>
        <v>40000</v>
      </c>
      <c r="V19" s="178">
        <f>+T19</f>
        <v>40000</v>
      </c>
      <c r="X19" s="7"/>
    </row>
    <row r="20" spans="1:24" x14ac:dyDescent="0.5">
      <c r="A20" s="170"/>
      <c r="B20" s="171"/>
      <c r="C20" s="172" t="s">
        <v>51</v>
      </c>
      <c r="D20" s="172"/>
      <c r="E20" s="181"/>
      <c r="F20" s="180"/>
      <c r="G20" s="180"/>
      <c r="I20" s="173"/>
      <c r="J20" s="179"/>
      <c r="K20" s="180"/>
      <c r="L20" s="180"/>
      <c r="M20" s="180"/>
      <c r="N20" s="180"/>
      <c r="O20" s="180" t="s">
        <v>0</v>
      </c>
      <c r="P20" s="180"/>
      <c r="Q20" s="180"/>
      <c r="R20" s="180"/>
      <c r="S20" s="180"/>
      <c r="T20" s="182">
        <f t="shared" si="1"/>
        <v>0</v>
      </c>
      <c r="V20" s="178">
        <f>+T20</f>
        <v>0</v>
      </c>
      <c r="X20" s="7"/>
    </row>
    <row r="21" spans="1:24" x14ac:dyDescent="0.5">
      <c r="A21" s="170"/>
      <c r="B21" s="171"/>
      <c r="C21" s="172" t="s">
        <v>112</v>
      </c>
      <c r="D21" s="172"/>
      <c r="E21" s="181"/>
      <c r="F21" s="180"/>
      <c r="G21" s="180"/>
      <c r="I21" s="173"/>
      <c r="J21" s="179"/>
      <c r="K21" s="180">
        <v>0</v>
      </c>
      <c r="L21" s="180">
        <v>0</v>
      </c>
      <c r="M21" s="180">
        <v>0</v>
      </c>
      <c r="N21" s="180">
        <v>0</v>
      </c>
      <c r="O21" s="180">
        <v>7489</v>
      </c>
      <c r="P21" s="180">
        <v>31787</v>
      </c>
      <c r="Q21" s="180">
        <v>40000</v>
      </c>
      <c r="R21" s="180"/>
      <c r="S21" s="180"/>
      <c r="T21" s="182">
        <f t="shared" si="1"/>
        <v>79276</v>
      </c>
      <c r="V21" s="178">
        <f>+T21</f>
        <v>79276</v>
      </c>
      <c r="X21" s="7"/>
    </row>
    <row r="22" spans="1:24" x14ac:dyDescent="0.5">
      <c r="A22" s="170"/>
      <c r="B22" s="171">
        <v>4120</v>
      </c>
      <c r="C22" s="172" t="s">
        <v>113</v>
      </c>
      <c r="D22" s="172"/>
      <c r="E22" s="181">
        <v>148000</v>
      </c>
      <c r="F22" s="180">
        <v>133140</v>
      </c>
      <c r="G22" s="180"/>
      <c r="I22" s="183"/>
      <c r="J22" s="179">
        <v>148000</v>
      </c>
      <c r="K22" s="180"/>
      <c r="L22" s="180"/>
      <c r="M22" s="180"/>
      <c r="N22" s="180"/>
      <c r="O22" s="180"/>
      <c r="P22" s="180"/>
      <c r="Q22" s="180" t="s">
        <v>0</v>
      </c>
      <c r="R22" s="180"/>
      <c r="S22" s="180"/>
      <c r="T22" s="182">
        <f t="shared" si="1"/>
        <v>148000</v>
      </c>
      <c r="X22" s="7"/>
    </row>
    <row r="23" spans="1:24" x14ac:dyDescent="0.5">
      <c r="A23" s="170"/>
      <c r="B23" s="171">
        <v>4150</v>
      </c>
      <c r="C23" s="172" t="s">
        <v>114</v>
      </c>
      <c r="D23" s="172"/>
      <c r="E23" s="181">
        <v>514700</v>
      </c>
      <c r="F23" s="180">
        <v>234324</v>
      </c>
      <c r="G23" s="180"/>
      <c r="I23" s="183"/>
      <c r="J23" s="179"/>
      <c r="K23" s="179">
        <v>156500</v>
      </c>
      <c r="L23" s="179">
        <v>144000</v>
      </c>
      <c r="M23" s="179">
        <v>203000</v>
      </c>
      <c r="N23" s="179">
        <v>11200</v>
      </c>
      <c r="O23" s="179"/>
      <c r="P23" s="184"/>
      <c r="Q23" s="184"/>
      <c r="R23" s="184"/>
      <c r="S23" s="184"/>
      <c r="T23" s="182">
        <f t="shared" si="1"/>
        <v>514700</v>
      </c>
    </row>
    <row r="24" spans="1:24" x14ac:dyDescent="0.5">
      <c r="A24" s="170"/>
      <c r="B24" s="171">
        <v>4990</v>
      </c>
      <c r="C24" s="172" t="s">
        <v>115</v>
      </c>
      <c r="D24" s="172"/>
      <c r="E24" s="181">
        <v>0</v>
      </c>
      <c r="F24" s="185">
        <v>818</v>
      </c>
      <c r="G24" s="180"/>
      <c r="I24" s="183"/>
      <c r="J24" s="186"/>
      <c r="K24" s="187"/>
      <c r="L24" s="187"/>
      <c r="M24" s="187"/>
      <c r="N24" s="187"/>
      <c r="O24" s="187"/>
      <c r="P24" s="187"/>
      <c r="Q24" s="187"/>
      <c r="R24" s="187"/>
      <c r="S24" s="187"/>
      <c r="T24" s="188">
        <f t="shared" si="1"/>
        <v>0</v>
      </c>
      <c r="V24" s="189"/>
    </row>
    <row r="25" spans="1:24" thickBot="1" x14ac:dyDescent="0.5">
      <c r="A25" s="170"/>
      <c r="B25" s="171"/>
      <c r="C25" s="190" t="s">
        <v>116</v>
      </c>
      <c r="D25" s="190"/>
      <c r="E25" s="191">
        <f>SUM(E17:E24)</f>
        <v>1903120</v>
      </c>
      <c r="F25" s="192">
        <f>SUM(F17:F24)</f>
        <v>978798</v>
      </c>
      <c r="G25" s="192"/>
      <c r="H25" s="193">
        <f>SUM(E17:E24)</f>
        <v>1903120</v>
      </c>
      <c r="I25" s="191"/>
      <c r="J25" s="194">
        <f>SUM(J17:J24)</f>
        <v>312774</v>
      </c>
      <c r="K25" s="194">
        <f t="shared" ref="K25:S25" si="2">SUM(K17:K24)</f>
        <v>156500</v>
      </c>
      <c r="L25" s="194">
        <f t="shared" si="2"/>
        <v>144000</v>
      </c>
      <c r="M25" s="194">
        <f t="shared" si="2"/>
        <v>203000</v>
      </c>
      <c r="N25" s="194">
        <f t="shared" si="2"/>
        <v>11200</v>
      </c>
      <c r="O25" s="194">
        <f t="shared" si="2"/>
        <v>7489</v>
      </c>
      <c r="P25" s="194">
        <f t="shared" si="2"/>
        <v>78395</v>
      </c>
      <c r="Q25" s="194">
        <f t="shared" si="2"/>
        <v>93000</v>
      </c>
      <c r="R25" s="194">
        <f t="shared" si="2"/>
        <v>996370</v>
      </c>
      <c r="S25" s="194">
        <f t="shared" si="2"/>
        <v>0</v>
      </c>
      <c r="T25" s="194">
        <f>SUM(T17:T24)</f>
        <v>1947529</v>
      </c>
      <c r="V25" s="52">
        <f>SUM(V17:V24)</f>
        <v>1284829</v>
      </c>
    </row>
    <row r="26" spans="1:24" thickTop="1" x14ac:dyDescent="0.45">
      <c r="A26" s="170"/>
      <c r="B26" s="171"/>
      <c r="C26" s="172"/>
      <c r="D26" s="172"/>
      <c r="E26" s="195"/>
      <c r="F26" s="196"/>
      <c r="G26" s="196"/>
      <c r="H26" s="197"/>
      <c r="I26" s="195"/>
      <c r="J26" s="195"/>
      <c r="K26" s="178"/>
      <c r="L26" s="178"/>
      <c r="M26" s="178"/>
      <c r="N26" s="178"/>
      <c r="O26" s="178"/>
      <c r="T26" s="198" t="s">
        <v>0</v>
      </c>
      <c r="V26" s="189">
        <v>-164774</v>
      </c>
    </row>
    <row r="27" spans="1:24" ht="15.4" x14ac:dyDescent="0.45">
      <c r="A27" s="170"/>
      <c r="B27" s="171"/>
      <c r="C27" s="165" t="s">
        <v>117</v>
      </c>
      <c r="D27" s="165"/>
      <c r="E27" s="195"/>
      <c r="F27" s="196"/>
      <c r="G27" s="196"/>
      <c r="H27" s="197"/>
      <c r="I27" s="195"/>
      <c r="J27" s="195"/>
      <c r="K27" s="178"/>
      <c r="L27" s="178"/>
      <c r="M27" s="178"/>
      <c r="N27" s="178"/>
      <c r="O27" s="178"/>
      <c r="T27" s="198" t="s">
        <v>0</v>
      </c>
      <c r="V27" s="52">
        <f>SUM(V25:V26)</f>
        <v>1120055</v>
      </c>
    </row>
    <row r="28" spans="1:24" x14ac:dyDescent="0.5">
      <c r="A28" s="170"/>
      <c r="B28" s="171">
        <v>6000</v>
      </c>
      <c r="C28" s="172" t="s">
        <v>118</v>
      </c>
      <c r="D28" s="172"/>
      <c r="E28" s="175">
        <v>424250</v>
      </c>
      <c r="F28" s="174">
        <v>214628</v>
      </c>
      <c r="G28" s="174"/>
      <c r="H28" s="150" t="s">
        <v>184</v>
      </c>
      <c r="I28" s="173"/>
      <c r="J28" s="176">
        <v>107583</v>
      </c>
      <c r="K28" s="177"/>
      <c r="L28" s="177"/>
      <c r="M28" s="177"/>
      <c r="N28" s="177"/>
      <c r="O28" s="177">
        <v>5583</v>
      </c>
      <c r="P28" s="177">
        <v>44660</v>
      </c>
      <c r="Q28" s="177"/>
      <c r="R28" s="177">
        <v>266424</v>
      </c>
      <c r="S28" s="177"/>
      <c r="T28" s="174">
        <f t="shared" ref="T28:T34" si="3">SUM(J28:R28)</f>
        <v>424250</v>
      </c>
    </row>
    <row r="29" spans="1:24" x14ac:dyDescent="0.5">
      <c r="A29" s="170"/>
      <c r="B29" s="171">
        <v>6010</v>
      </c>
      <c r="C29" s="172" t="s">
        <v>119</v>
      </c>
      <c r="D29" s="172"/>
      <c r="E29" s="181">
        <v>0</v>
      </c>
      <c r="F29" s="180">
        <v>0</v>
      </c>
      <c r="G29" s="180"/>
      <c r="I29" s="183"/>
      <c r="J29" s="179"/>
      <c r="K29" s="180"/>
      <c r="L29" s="180"/>
      <c r="M29" s="180"/>
      <c r="N29" s="180"/>
      <c r="O29" s="180"/>
      <c r="P29" s="180"/>
      <c r="Q29" s="180"/>
      <c r="R29" s="180"/>
      <c r="S29" s="177"/>
      <c r="T29" s="180">
        <f t="shared" si="3"/>
        <v>0</v>
      </c>
    </row>
    <row r="30" spans="1:24" x14ac:dyDescent="0.5">
      <c r="A30" s="170"/>
      <c r="B30" s="171">
        <v>6100</v>
      </c>
      <c r="C30" s="172" t="s">
        <v>15</v>
      </c>
      <c r="D30" s="172"/>
      <c r="E30" s="181">
        <v>23274</v>
      </c>
      <c r="F30" s="180">
        <v>15633</v>
      </c>
      <c r="G30" s="180"/>
      <c r="I30" s="183"/>
      <c r="J30" s="179">
        <v>427</v>
      </c>
      <c r="K30" s="180"/>
      <c r="L30" s="180"/>
      <c r="M30" s="180"/>
      <c r="N30" s="180"/>
      <c r="O30" s="180">
        <v>427</v>
      </c>
      <c r="P30" s="180">
        <v>3416</v>
      </c>
      <c r="Q30" s="180"/>
      <c r="R30" s="180">
        <v>19004</v>
      </c>
      <c r="S30" s="177"/>
      <c r="T30" s="180">
        <f t="shared" si="3"/>
        <v>23274</v>
      </c>
    </row>
    <row r="31" spans="1:24" x14ac:dyDescent="0.5">
      <c r="A31" s="170"/>
      <c r="B31" s="171">
        <v>6110</v>
      </c>
      <c r="C31" s="172" t="s">
        <v>120</v>
      </c>
      <c r="D31" s="172"/>
      <c r="E31" s="181">
        <v>4210</v>
      </c>
      <c r="F31" s="180">
        <v>2247</v>
      </c>
      <c r="G31" s="180"/>
      <c r="I31" s="183"/>
      <c r="J31" s="179">
        <v>70</v>
      </c>
      <c r="K31" s="180"/>
      <c r="L31" s="180"/>
      <c r="M31" s="180"/>
      <c r="N31" s="180"/>
      <c r="O31" s="180">
        <v>70</v>
      </c>
      <c r="P31" s="180">
        <v>561</v>
      </c>
      <c r="Q31" s="180"/>
      <c r="R31" s="180">
        <v>3509</v>
      </c>
      <c r="S31" s="177"/>
      <c r="T31" s="180">
        <f t="shared" si="3"/>
        <v>4210</v>
      </c>
    </row>
    <row r="32" spans="1:24" x14ac:dyDescent="0.5">
      <c r="A32" s="170"/>
      <c r="B32" s="171">
        <v>6200</v>
      </c>
      <c r="C32" s="199" t="s">
        <v>121</v>
      </c>
      <c r="D32" s="199"/>
      <c r="E32" s="181">
        <v>28402</v>
      </c>
      <c r="F32" s="180">
        <v>22651</v>
      </c>
      <c r="G32" s="180"/>
      <c r="I32" s="183"/>
      <c r="J32" s="179">
        <v>604</v>
      </c>
      <c r="K32" s="180"/>
      <c r="L32" s="180"/>
      <c r="M32" s="180"/>
      <c r="N32" s="180"/>
      <c r="O32" s="180">
        <v>604</v>
      </c>
      <c r="P32" s="180">
        <v>4835</v>
      </c>
      <c r="Q32" s="180"/>
      <c r="R32" s="180">
        <v>22359</v>
      </c>
      <c r="S32" s="177"/>
      <c r="T32" s="180">
        <f t="shared" si="3"/>
        <v>28402</v>
      </c>
    </row>
    <row r="33" spans="1:20" x14ac:dyDescent="0.5">
      <c r="A33" s="170"/>
      <c r="B33" s="171">
        <v>6210</v>
      </c>
      <c r="C33" s="199" t="s">
        <v>122</v>
      </c>
      <c r="D33" s="199"/>
      <c r="E33" s="181">
        <v>43204</v>
      </c>
      <c r="F33" s="180">
        <v>28968</v>
      </c>
      <c r="G33" s="180"/>
      <c r="I33" s="183"/>
      <c r="J33" s="179">
        <v>793</v>
      </c>
      <c r="K33" s="180"/>
      <c r="L33" s="180"/>
      <c r="M33" s="180"/>
      <c r="N33" s="180"/>
      <c r="O33" s="180">
        <v>793</v>
      </c>
      <c r="P33" s="180">
        <v>6342</v>
      </c>
      <c r="Q33" s="180"/>
      <c r="R33" s="180">
        <v>35276</v>
      </c>
      <c r="S33" s="177"/>
      <c r="T33" s="180">
        <f t="shared" si="3"/>
        <v>43204</v>
      </c>
    </row>
    <row r="34" spans="1:20" x14ac:dyDescent="0.5">
      <c r="A34" s="170"/>
      <c r="B34" s="171">
        <v>6215</v>
      </c>
      <c r="C34" s="199" t="s">
        <v>123</v>
      </c>
      <c r="D34" s="199"/>
      <c r="E34" s="181">
        <v>640</v>
      </c>
      <c r="F34" s="185">
        <v>1954</v>
      </c>
      <c r="G34" s="180"/>
      <c r="I34" s="183"/>
      <c r="J34" s="186">
        <v>12</v>
      </c>
      <c r="K34" s="185"/>
      <c r="L34" s="185"/>
      <c r="M34" s="185"/>
      <c r="N34" s="185"/>
      <c r="O34" s="185">
        <v>12</v>
      </c>
      <c r="P34" s="185">
        <v>94</v>
      </c>
      <c r="Q34" s="185"/>
      <c r="R34" s="185">
        <v>522</v>
      </c>
      <c r="S34" s="200"/>
      <c r="T34" s="185">
        <f t="shared" si="3"/>
        <v>640</v>
      </c>
    </row>
    <row r="35" spans="1:20" s="207" customFormat="1" ht="18" x14ac:dyDescent="0.55000000000000004">
      <c r="A35" s="201"/>
      <c r="B35" s="171"/>
      <c r="C35" s="165" t="s">
        <v>124</v>
      </c>
      <c r="D35" s="165"/>
      <c r="E35" s="202">
        <f>SUM(E28:E34)</f>
        <v>523980</v>
      </c>
      <c r="F35" s="203">
        <f>SUM(F28:F34)</f>
        <v>286081</v>
      </c>
      <c r="G35" s="203"/>
      <c r="H35" s="204">
        <f>SUM(E28:E34)</f>
        <v>523980</v>
      </c>
      <c r="I35" s="205"/>
      <c r="J35" s="206">
        <f>SUM(J28:J34)</f>
        <v>109489</v>
      </c>
      <c r="K35" s="206">
        <f t="shared" ref="K35:T35" si="4">SUM(K28:K34)</f>
        <v>0</v>
      </c>
      <c r="L35" s="206">
        <f t="shared" si="4"/>
        <v>0</v>
      </c>
      <c r="M35" s="206">
        <f t="shared" si="4"/>
        <v>0</v>
      </c>
      <c r="N35" s="206">
        <f t="shared" si="4"/>
        <v>0</v>
      </c>
      <c r="O35" s="206">
        <f>SUM(O28:O34)</f>
        <v>7489</v>
      </c>
      <c r="P35" s="206">
        <f t="shared" si="4"/>
        <v>59908</v>
      </c>
      <c r="Q35" s="206">
        <f t="shared" si="4"/>
        <v>0</v>
      </c>
      <c r="R35" s="206">
        <f t="shared" si="4"/>
        <v>347094</v>
      </c>
      <c r="S35" s="206"/>
      <c r="T35" s="206">
        <f t="shared" si="4"/>
        <v>523980</v>
      </c>
    </row>
    <row r="36" spans="1:20" ht="15.4" x14ac:dyDescent="0.45">
      <c r="A36" s="170"/>
      <c r="B36" s="171"/>
      <c r="C36" s="208"/>
      <c r="D36" s="208"/>
      <c r="E36" s="209"/>
      <c r="F36" s="196"/>
      <c r="G36" s="196"/>
      <c r="H36" s="210"/>
      <c r="I36" s="209"/>
      <c r="J36" s="211"/>
      <c r="K36" s="52"/>
      <c r="L36" s="52"/>
      <c r="M36" s="52"/>
      <c r="N36" s="52"/>
      <c r="O36" s="52"/>
      <c r="P36" s="52"/>
      <c r="Q36" s="52"/>
      <c r="R36" s="52"/>
      <c r="S36" s="52"/>
      <c r="T36" s="198" t="s">
        <v>0</v>
      </c>
    </row>
    <row r="37" spans="1:20" ht="15.4" x14ac:dyDescent="0.45">
      <c r="A37" s="170"/>
      <c r="B37" s="171"/>
      <c r="C37" s="172"/>
      <c r="D37" s="172"/>
      <c r="E37" s="195"/>
      <c r="F37" s="196"/>
      <c r="G37" s="196"/>
      <c r="H37" s="197"/>
      <c r="I37" s="195"/>
      <c r="J37" s="212"/>
      <c r="K37" s="52"/>
      <c r="L37" s="52"/>
      <c r="M37" s="52"/>
      <c r="N37" s="52"/>
      <c r="O37" s="52"/>
      <c r="P37" s="52"/>
      <c r="Q37" s="52"/>
      <c r="R37" s="52"/>
      <c r="S37" s="52"/>
      <c r="T37" s="198" t="s">
        <v>0</v>
      </c>
    </row>
    <row r="38" spans="1:20" x14ac:dyDescent="0.5">
      <c r="A38" s="170"/>
      <c r="B38" s="171">
        <v>6300</v>
      </c>
      <c r="C38" s="213" t="s">
        <v>125</v>
      </c>
      <c r="D38" s="213"/>
      <c r="E38" s="214">
        <v>12000</v>
      </c>
      <c r="F38" s="177">
        <v>5000</v>
      </c>
      <c r="G38" s="177"/>
      <c r="I38" s="183"/>
      <c r="J38" s="176">
        <v>12000</v>
      </c>
      <c r="K38" s="177"/>
      <c r="L38" s="177"/>
      <c r="M38" s="177" t="s">
        <v>0</v>
      </c>
      <c r="N38" s="177"/>
      <c r="O38" s="177"/>
      <c r="P38" s="177" t="s">
        <v>0</v>
      </c>
      <c r="Q38" s="177"/>
      <c r="R38" s="177"/>
      <c r="S38" s="177"/>
      <c r="T38" s="177">
        <f t="shared" ref="T38:T50" si="5">SUM(J38:R38)</f>
        <v>12000</v>
      </c>
    </row>
    <row r="39" spans="1:20" x14ac:dyDescent="0.5">
      <c r="A39" s="170"/>
      <c r="B39" s="171">
        <v>6310</v>
      </c>
      <c r="C39" s="213" t="s">
        <v>126</v>
      </c>
      <c r="D39" s="213"/>
      <c r="E39" s="181">
        <v>20000</v>
      </c>
      <c r="F39" s="180">
        <v>0</v>
      </c>
      <c r="G39" s="180"/>
      <c r="I39" s="183"/>
      <c r="J39" s="179">
        <v>11000</v>
      </c>
      <c r="K39" s="180"/>
      <c r="L39" s="180"/>
      <c r="M39" s="180">
        <v>0</v>
      </c>
      <c r="N39" s="180"/>
      <c r="O39" s="180"/>
      <c r="P39" s="180">
        <v>3200</v>
      </c>
      <c r="Q39" s="180"/>
      <c r="R39" s="180">
        <v>5800</v>
      </c>
      <c r="S39" s="180"/>
      <c r="T39" s="180">
        <f t="shared" si="5"/>
        <v>20000</v>
      </c>
    </row>
    <row r="40" spans="1:20" x14ac:dyDescent="0.5">
      <c r="A40" s="170"/>
      <c r="B40" s="171">
        <v>6320</v>
      </c>
      <c r="C40" s="199" t="s">
        <v>127</v>
      </c>
      <c r="D40" s="199"/>
      <c r="E40" s="181">
        <v>48500</v>
      </c>
      <c r="F40" s="180">
        <v>30078</v>
      </c>
      <c r="G40" s="180"/>
      <c r="I40" s="183"/>
      <c r="J40" s="179">
        <v>24500</v>
      </c>
      <c r="K40" s="180"/>
      <c r="L40" s="180"/>
      <c r="M40" s="180"/>
      <c r="N40" s="180"/>
      <c r="O40" s="180"/>
      <c r="P40" s="180"/>
      <c r="Q40" s="180"/>
      <c r="R40" s="180">
        <v>24000</v>
      </c>
      <c r="S40" s="180"/>
      <c r="T40" s="180">
        <f t="shared" si="5"/>
        <v>48500</v>
      </c>
    </row>
    <row r="41" spans="1:20" x14ac:dyDescent="0.5">
      <c r="A41" s="170"/>
      <c r="B41" s="171">
        <v>6330</v>
      </c>
      <c r="C41" s="172" t="s">
        <v>128</v>
      </c>
      <c r="D41" s="172"/>
      <c r="E41" s="181">
        <f>3000*12</f>
        <v>36000</v>
      </c>
      <c r="F41" s="180">
        <v>30000</v>
      </c>
      <c r="G41" s="180"/>
      <c r="I41" s="183"/>
      <c r="J41" s="179">
        <f>+E41</f>
        <v>36000</v>
      </c>
      <c r="K41" s="180"/>
      <c r="L41" s="180"/>
      <c r="M41" s="180"/>
      <c r="N41" s="180"/>
      <c r="O41" s="180"/>
      <c r="P41" s="180"/>
      <c r="Q41" s="180"/>
      <c r="R41" s="180"/>
      <c r="S41" s="180"/>
      <c r="T41" s="180">
        <f t="shared" si="5"/>
        <v>36000</v>
      </c>
    </row>
    <row r="42" spans="1:20" x14ac:dyDescent="0.5">
      <c r="A42" s="170"/>
      <c r="B42" s="171">
        <v>6340</v>
      </c>
      <c r="C42" s="172" t="s">
        <v>129</v>
      </c>
      <c r="D42" s="172"/>
      <c r="E42" s="181">
        <v>5000</v>
      </c>
      <c r="F42" s="180">
        <v>3071</v>
      </c>
      <c r="G42" s="180"/>
      <c r="I42" s="183"/>
      <c r="J42" s="179">
        <f>E42*25%</f>
        <v>1250</v>
      </c>
      <c r="K42" s="180"/>
      <c r="L42" s="180"/>
      <c r="M42" s="180"/>
      <c r="N42" s="180"/>
      <c r="O42" s="180" t="s">
        <v>0</v>
      </c>
      <c r="P42" s="180">
        <f>5000*11%</f>
        <v>550</v>
      </c>
      <c r="Q42" s="180"/>
      <c r="R42" s="180">
        <v>3200</v>
      </c>
      <c r="S42" s="180"/>
      <c r="T42" s="180">
        <f t="shared" si="5"/>
        <v>5000</v>
      </c>
    </row>
    <row r="43" spans="1:20" x14ac:dyDescent="0.5">
      <c r="A43" s="170"/>
      <c r="B43" s="171">
        <v>6350</v>
      </c>
      <c r="C43" s="213" t="s">
        <v>130</v>
      </c>
      <c r="D43" s="213"/>
      <c r="E43" s="181">
        <v>76000</v>
      </c>
      <c r="F43" s="180">
        <f>41171-9835</f>
        <v>31336</v>
      </c>
      <c r="G43" s="180"/>
      <c r="I43" s="183"/>
      <c r="J43" s="179">
        <v>76000</v>
      </c>
      <c r="K43" s="180"/>
      <c r="L43" s="180"/>
      <c r="M43" s="180"/>
      <c r="N43" s="180"/>
      <c r="O43" s="180"/>
      <c r="P43" s="180"/>
      <c r="Q43" s="180"/>
      <c r="R43" s="180"/>
      <c r="S43" s="180"/>
      <c r="T43" s="180">
        <f t="shared" si="5"/>
        <v>76000</v>
      </c>
    </row>
    <row r="44" spans="1:20" x14ac:dyDescent="0.5">
      <c r="A44" s="170"/>
      <c r="B44" s="171">
        <v>6360</v>
      </c>
      <c r="C44" s="199" t="s">
        <v>131</v>
      </c>
      <c r="D44" s="199"/>
      <c r="E44" s="181">
        <v>40000</v>
      </c>
      <c r="F44" s="180">
        <v>20365</v>
      </c>
      <c r="G44" s="180"/>
      <c r="I44" s="183"/>
      <c r="J44" s="179">
        <v>4750</v>
      </c>
      <c r="K44" s="180"/>
      <c r="L44" s="180"/>
      <c r="M44" s="180"/>
      <c r="N44" s="180"/>
      <c r="O44" s="180" t="s">
        <v>0</v>
      </c>
      <c r="P44" s="180">
        <v>2090</v>
      </c>
      <c r="Q44" s="180"/>
      <c r="R44" s="180">
        <v>33160</v>
      </c>
      <c r="S44" s="180"/>
      <c r="T44" s="180">
        <f t="shared" si="5"/>
        <v>40000</v>
      </c>
    </row>
    <row r="45" spans="1:20" x14ac:dyDescent="0.5">
      <c r="A45" s="170"/>
      <c r="B45" s="171">
        <v>6365</v>
      </c>
      <c r="C45" s="199" t="s">
        <v>132</v>
      </c>
      <c r="D45" s="199"/>
      <c r="E45" s="181">
        <v>17000</v>
      </c>
      <c r="F45" s="180">
        <v>9835</v>
      </c>
      <c r="G45" s="180"/>
      <c r="I45" s="183"/>
      <c r="J45" s="179">
        <v>0</v>
      </c>
      <c r="K45" s="180"/>
      <c r="L45" s="180"/>
      <c r="M45" s="180"/>
      <c r="N45" s="180"/>
      <c r="O45" s="180"/>
      <c r="P45" s="180">
        <v>0</v>
      </c>
      <c r="Q45" s="180"/>
      <c r="R45" s="180">
        <v>17000</v>
      </c>
      <c r="S45" s="180"/>
      <c r="T45" s="180">
        <f t="shared" si="5"/>
        <v>17000</v>
      </c>
    </row>
    <row r="46" spans="1:20" x14ac:dyDescent="0.5">
      <c r="A46" s="170"/>
      <c r="B46" s="171">
        <v>6370</v>
      </c>
      <c r="C46" s="199" t="s">
        <v>133</v>
      </c>
      <c r="D46" s="199"/>
      <c r="E46" s="181">
        <v>2550</v>
      </c>
      <c r="F46" s="180">
        <v>1428</v>
      </c>
      <c r="G46" s="180"/>
      <c r="I46" s="183"/>
      <c r="J46" s="179">
        <v>0</v>
      </c>
      <c r="K46" s="180"/>
      <c r="L46" s="180"/>
      <c r="M46" s="180"/>
      <c r="N46" s="180"/>
      <c r="O46" s="180"/>
      <c r="P46" s="180"/>
      <c r="Q46" s="180"/>
      <c r="R46" s="180">
        <v>2550</v>
      </c>
      <c r="S46" s="180"/>
      <c r="T46" s="180">
        <f t="shared" si="5"/>
        <v>2550</v>
      </c>
    </row>
    <row r="47" spans="1:20" x14ac:dyDescent="0.5">
      <c r="A47" s="170"/>
      <c r="B47" s="171">
        <v>6375</v>
      </c>
      <c r="C47" s="199" t="s">
        <v>134</v>
      </c>
      <c r="D47" s="199"/>
      <c r="E47" s="181">
        <v>164000</v>
      </c>
      <c r="F47" s="180">
        <v>95862</v>
      </c>
      <c r="G47" s="180"/>
      <c r="I47" s="183"/>
      <c r="J47" s="179"/>
      <c r="K47" s="180">
        <v>0</v>
      </c>
      <c r="L47" s="180"/>
      <c r="M47" s="180"/>
      <c r="N47" s="180"/>
      <c r="O47" s="180"/>
      <c r="P47" s="180"/>
      <c r="Q47" s="180"/>
      <c r="R47" s="180">
        <v>164000</v>
      </c>
      <c r="S47" s="180"/>
      <c r="T47" s="180">
        <f t="shared" si="5"/>
        <v>164000</v>
      </c>
    </row>
    <row r="48" spans="1:20" x14ac:dyDescent="0.5">
      <c r="A48" s="170"/>
      <c r="B48" s="171">
        <v>6380</v>
      </c>
      <c r="C48" s="172" t="s">
        <v>135</v>
      </c>
      <c r="D48" s="172"/>
      <c r="E48" s="181">
        <v>514700</v>
      </c>
      <c r="F48" s="180">
        <v>220355</v>
      </c>
      <c r="G48" s="180"/>
      <c r="I48" s="183"/>
      <c r="J48" s="179"/>
      <c r="K48" s="180">
        <v>156500</v>
      </c>
      <c r="L48" s="180">
        <v>144000</v>
      </c>
      <c r="M48" s="180">
        <v>203000</v>
      </c>
      <c r="N48" s="180">
        <v>11200</v>
      </c>
      <c r="O48" s="180"/>
      <c r="P48" s="180"/>
      <c r="Q48" s="180"/>
      <c r="R48" s="180"/>
      <c r="S48" s="180"/>
      <c r="T48" s="180">
        <f t="shared" si="5"/>
        <v>514700</v>
      </c>
    </row>
    <row r="49" spans="1:20" x14ac:dyDescent="0.5">
      <c r="A49" s="170"/>
      <c r="B49" s="171">
        <v>6390</v>
      </c>
      <c r="C49" s="199" t="s">
        <v>136</v>
      </c>
      <c r="D49" s="199"/>
      <c r="E49" s="181">
        <v>93000</v>
      </c>
      <c r="F49" s="185">
        <v>36963</v>
      </c>
      <c r="G49" s="180"/>
      <c r="I49" s="183"/>
      <c r="J49" s="186"/>
      <c r="K49" s="185"/>
      <c r="L49" s="185"/>
      <c r="M49" s="185"/>
      <c r="N49" s="185"/>
      <c r="O49" s="185"/>
      <c r="P49" s="185"/>
      <c r="Q49" s="185">
        <v>93000</v>
      </c>
      <c r="R49" s="185"/>
      <c r="S49" s="185"/>
      <c r="T49" s="185">
        <f t="shared" si="5"/>
        <v>93000</v>
      </c>
    </row>
    <row r="50" spans="1:20" ht="15.4" x14ac:dyDescent="0.45">
      <c r="A50" s="170"/>
      <c r="B50" s="171"/>
      <c r="C50" s="165" t="s">
        <v>137</v>
      </c>
      <c r="D50" s="165"/>
      <c r="E50" s="202">
        <f>SUM(E38:E49)</f>
        <v>1028750</v>
      </c>
      <c r="F50" s="203">
        <f>SUM(F38:F49)</f>
        <v>484293</v>
      </c>
      <c r="G50" s="203"/>
      <c r="H50" s="204">
        <f>SUM(E38:E49)</f>
        <v>1028750</v>
      </c>
      <c r="I50" s="215"/>
      <c r="J50" s="206">
        <f>SUM(J38:J49)</f>
        <v>165500</v>
      </c>
      <c r="K50" s="206">
        <f t="shared" ref="K50:S50" si="6">SUM(K38:K49)</f>
        <v>156500</v>
      </c>
      <c r="L50" s="206">
        <f t="shared" si="6"/>
        <v>144000</v>
      </c>
      <c r="M50" s="206">
        <f t="shared" si="6"/>
        <v>203000</v>
      </c>
      <c r="N50" s="206">
        <f t="shared" si="6"/>
        <v>11200</v>
      </c>
      <c r="O50" s="206">
        <f t="shared" si="6"/>
        <v>0</v>
      </c>
      <c r="P50" s="206">
        <f t="shared" si="6"/>
        <v>5840</v>
      </c>
      <c r="Q50" s="206">
        <f t="shared" si="6"/>
        <v>93000</v>
      </c>
      <c r="R50" s="206">
        <f t="shared" si="6"/>
        <v>249710</v>
      </c>
      <c r="S50" s="206">
        <f t="shared" si="6"/>
        <v>0</v>
      </c>
      <c r="T50" s="203">
        <f t="shared" si="5"/>
        <v>1028750</v>
      </c>
    </row>
    <row r="51" spans="1:20" ht="15.4" x14ac:dyDescent="0.45">
      <c r="A51" s="216"/>
      <c r="B51" s="171"/>
      <c r="C51" s="172"/>
      <c r="D51" s="172"/>
      <c r="E51" s="195"/>
      <c r="F51" s="196"/>
      <c r="G51" s="196"/>
      <c r="H51" s="197"/>
      <c r="I51" s="195"/>
      <c r="J51" s="212"/>
      <c r="K51" s="52"/>
      <c r="L51" s="52"/>
      <c r="M51" s="52"/>
      <c r="N51" s="52"/>
      <c r="O51" s="52"/>
      <c r="P51" s="52"/>
      <c r="Q51" s="52"/>
      <c r="R51" s="52"/>
      <c r="S51" s="52"/>
      <c r="T51" s="198" t="s">
        <v>0</v>
      </c>
    </row>
    <row r="52" spans="1:20" ht="15.4" x14ac:dyDescent="0.45">
      <c r="A52" s="216"/>
      <c r="B52" s="171"/>
      <c r="C52" s="172"/>
      <c r="D52" s="172"/>
      <c r="E52" s="195"/>
      <c r="F52" s="196"/>
      <c r="G52" s="196"/>
      <c r="H52" s="197"/>
      <c r="I52" s="195"/>
      <c r="J52" s="212"/>
      <c r="K52" s="52"/>
      <c r="L52" s="52"/>
      <c r="M52" s="52"/>
      <c r="N52" s="52"/>
      <c r="O52" s="52"/>
      <c r="P52" s="52"/>
      <c r="Q52" s="52"/>
      <c r="R52" s="52"/>
      <c r="S52" s="52"/>
      <c r="T52" s="198" t="s">
        <v>0</v>
      </c>
    </row>
    <row r="53" spans="1:20" x14ac:dyDescent="0.5">
      <c r="A53" s="216"/>
      <c r="B53" s="171">
        <v>6400</v>
      </c>
      <c r="C53" s="172" t="s">
        <v>138</v>
      </c>
      <c r="D53" s="172"/>
      <c r="E53" s="214">
        <v>1000</v>
      </c>
      <c r="F53" s="177">
        <v>1485</v>
      </c>
      <c r="G53" s="177"/>
      <c r="I53" s="183"/>
      <c r="J53" s="176">
        <v>800</v>
      </c>
      <c r="K53" s="52"/>
      <c r="L53" s="52"/>
      <c r="M53" s="52"/>
      <c r="N53" s="52"/>
      <c r="O53" s="177"/>
      <c r="P53" s="177">
        <f>E53*10%</f>
        <v>100</v>
      </c>
      <c r="Q53" s="177"/>
      <c r="R53" s="177">
        <f>10%*E53</f>
        <v>100</v>
      </c>
      <c r="S53" s="177"/>
      <c r="T53" s="177">
        <f t="shared" ref="T53:T60" si="7">SUM(J53:R53)</f>
        <v>1000</v>
      </c>
    </row>
    <row r="54" spans="1:20" x14ac:dyDescent="0.5">
      <c r="A54" s="216"/>
      <c r="B54" s="171">
        <v>6410</v>
      </c>
      <c r="C54" s="172" t="s">
        <v>139</v>
      </c>
      <c r="D54" s="172"/>
      <c r="E54" s="181">
        <v>1000</v>
      </c>
      <c r="F54" s="180">
        <v>675</v>
      </c>
      <c r="G54" s="180"/>
      <c r="I54" s="183"/>
      <c r="J54" s="179">
        <v>800</v>
      </c>
      <c r="K54" s="184"/>
      <c r="L54" s="184"/>
      <c r="M54" s="184"/>
      <c r="N54" s="184"/>
      <c r="O54" s="180"/>
      <c r="P54" s="180">
        <v>100</v>
      </c>
      <c r="Q54" s="180"/>
      <c r="R54" s="180">
        <v>100</v>
      </c>
      <c r="S54" s="180"/>
      <c r="T54" s="180">
        <f t="shared" si="7"/>
        <v>1000</v>
      </c>
    </row>
    <row r="55" spans="1:20" x14ac:dyDescent="0.5">
      <c r="A55" s="216"/>
      <c r="B55" s="171">
        <v>6415</v>
      </c>
      <c r="C55" s="199" t="s">
        <v>140</v>
      </c>
      <c r="D55" s="199"/>
      <c r="E55" s="181">
        <f>(304.89*12)+(165*12)+61</f>
        <v>5699.68</v>
      </c>
      <c r="F55" s="180">
        <f>2161+883+50</f>
        <v>3094</v>
      </c>
      <c r="G55" s="180"/>
      <c r="I55" s="183"/>
      <c r="J55" s="179">
        <v>1425</v>
      </c>
      <c r="K55" s="184"/>
      <c r="L55" s="184"/>
      <c r="M55" s="184" t="s">
        <v>0</v>
      </c>
      <c r="N55" s="184"/>
      <c r="O55" s="180" t="s">
        <v>0</v>
      </c>
      <c r="P55" s="180">
        <v>630</v>
      </c>
      <c r="Q55" s="180"/>
      <c r="R55" s="180">
        <v>3645</v>
      </c>
      <c r="S55" s="180"/>
      <c r="T55" s="180">
        <f t="shared" si="7"/>
        <v>5700</v>
      </c>
    </row>
    <row r="56" spans="1:20" x14ac:dyDescent="0.5">
      <c r="A56" s="170"/>
      <c r="B56" s="171">
        <v>6420</v>
      </c>
      <c r="C56" s="172" t="s">
        <v>141</v>
      </c>
      <c r="D56" s="172"/>
      <c r="E56" s="181">
        <v>1000</v>
      </c>
      <c r="F56" s="180">
        <v>653</v>
      </c>
      <c r="G56" s="180"/>
      <c r="I56" s="183"/>
      <c r="J56" s="179">
        <v>1000</v>
      </c>
      <c r="K56" s="184"/>
      <c r="L56" s="184"/>
      <c r="M56" s="184"/>
      <c r="N56" s="184"/>
      <c r="O56" s="180"/>
      <c r="P56" s="180"/>
      <c r="Q56" s="180"/>
      <c r="R56" s="180"/>
      <c r="S56" s="180"/>
      <c r="T56" s="180">
        <f t="shared" si="7"/>
        <v>1000</v>
      </c>
    </row>
    <row r="57" spans="1:20" x14ac:dyDescent="0.5">
      <c r="A57" s="170"/>
      <c r="B57" s="171">
        <v>6425</v>
      </c>
      <c r="C57" s="172" t="s">
        <v>142</v>
      </c>
      <c r="D57" s="172"/>
      <c r="E57" s="181">
        <v>2200</v>
      </c>
      <c r="F57" s="180">
        <f>1008+120</f>
        <v>1128</v>
      </c>
      <c r="G57" s="180"/>
      <c r="I57" s="183"/>
      <c r="J57" s="179">
        <v>2200</v>
      </c>
      <c r="K57" s="184"/>
      <c r="L57" s="184"/>
      <c r="M57" s="184"/>
      <c r="N57" s="184"/>
      <c r="O57" s="180"/>
      <c r="P57" s="180"/>
      <c r="Q57" s="180"/>
      <c r="R57" s="180"/>
      <c r="S57" s="180"/>
      <c r="T57" s="180">
        <f t="shared" si="7"/>
        <v>2200</v>
      </c>
    </row>
    <row r="58" spans="1:20" x14ac:dyDescent="0.5">
      <c r="A58" s="170"/>
      <c r="B58" s="171">
        <v>6430</v>
      </c>
      <c r="C58" s="172" t="s">
        <v>143</v>
      </c>
      <c r="D58" s="172"/>
      <c r="E58" s="181">
        <v>12000</v>
      </c>
      <c r="F58" s="180">
        <v>7334</v>
      </c>
      <c r="G58" s="180"/>
      <c r="I58" s="183"/>
      <c r="J58" s="179">
        <v>7200</v>
      </c>
      <c r="K58" s="184"/>
      <c r="L58" s="184"/>
      <c r="M58" s="184"/>
      <c r="N58" s="184"/>
      <c r="O58" s="180"/>
      <c r="P58" s="180">
        <v>3000</v>
      </c>
      <c r="Q58" s="180"/>
      <c r="R58" s="180">
        <f>15%*E58</f>
        <v>1800</v>
      </c>
      <c r="S58" s="180"/>
      <c r="T58" s="180">
        <f t="shared" si="7"/>
        <v>12000</v>
      </c>
    </row>
    <row r="59" spans="1:20" x14ac:dyDescent="0.5">
      <c r="A59" s="170"/>
      <c r="B59" s="171">
        <v>6435</v>
      </c>
      <c r="C59" s="172" t="s">
        <v>144</v>
      </c>
      <c r="D59" s="172"/>
      <c r="E59" s="181">
        <v>300000</v>
      </c>
      <c r="F59" s="180">
        <v>95913</v>
      </c>
      <c r="G59" s="180"/>
      <c r="I59" s="183"/>
      <c r="J59" s="179">
        <v>500</v>
      </c>
      <c r="K59" s="184"/>
      <c r="L59" s="184"/>
      <c r="M59" s="184"/>
      <c r="N59" s="184"/>
      <c r="O59" s="180"/>
      <c r="P59" s="180"/>
      <c r="Q59" s="180"/>
      <c r="R59" s="180">
        <v>299500</v>
      </c>
      <c r="S59" s="180"/>
      <c r="T59" s="180">
        <f t="shared" si="7"/>
        <v>300000</v>
      </c>
    </row>
    <row r="60" spans="1:20" x14ac:dyDescent="0.5">
      <c r="A60" s="170"/>
      <c r="B60" s="171">
        <v>6440</v>
      </c>
      <c r="C60" s="172" t="s">
        <v>145</v>
      </c>
      <c r="D60" s="172"/>
      <c r="E60" s="181">
        <v>74000</v>
      </c>
      <c r="F60" s="185">
        <v>53469</v>
      </c>
      <c r="G60" s="180"/>
      <c r="I60" s="183"/>
      <c r="J60" s="186">
        <v>1000</v>
      </c>
      <c r="K60" s="187"/>
      <c r="L60" s="187"/>
      <c r="M60" s="187"/>
      <c r="N60" s="187"/>
      <c r="O60" s="185"/>
      <c r="P60" s="185"/>
      <c r="Q60" s="185"/>
      <c r="R60" s="185">
        <v>73000</v>
      </c>
      <c r="S60" s="185"/>
      <c r="T60" s="185">
        <f t="shared" si="7"/>
        <v>74000</v>
      </c>
    </row>
    <row r="61" spans="1:20" ht="15.4" x14ac:dyDescent="0.45">
      <c r="A61" s="170"/>
      <c r="B61" s="171"/>
      <c r="C61" s="165" t="s">
        <v>146</v>
      </c>
      <c r="D61" s="165"/>
      <c r="E61" s="206">
        <f>SUM(E53:E60)</f>
        <v>396899.68</v>
      </c>
      <c r="F61" s="217">
        <f>SUM(F53:F60)</f>
        <v>163751</v>
      </c>
      <c r="G61" s="217"/>
      <c r="H61" s="218">
        <f>SUM(E53:E60)</f>
        <v>396899.68</v>
      </c>
      <c r="I61" s="215"/>
      <c r="J61" s="206">
        <f>SUM(J52:J60)</f>
        <v>14925</v>
      </c>
      <c r="K61" s="206">
        <f t="shared" ref="K61:S61" si="8">SUM(K52:K60)</f>
        <v>0</v>
      </c>
      <c r="L61" s="206">
        <f t="shared" si="8"/>
        <v>0</v>
      </c>
      <c r="M61" s="206">
        <f t="shared" si="8"/>
        <v>0</v>
      </c>
      <c r="N61" s="206">
        <f t="shared" si="8"/>
        <v>0</v>
      </c>
      <c r="O61" s="206">
        <f t="shared" si="8"/>
        <v>0</v>
      </c>
      <c r="P61" s="206">
        <f t="shared" si="8"/>
        <v>3830</v>
      </c>
      <c r="Q61" s="206">
        <f t="shared" si="8"/>
        <v>0</v>
      </c>
      <c r="R61" s="206">
        <f t="shared" si="8"/>
        <v>378145</v>
      </c>
      <c r="S61" s="206">
        <f t="shared" si="8"/>
        <v>0</v>
      </c>
      <c r="T61" s="206">
        <f>SUM(T53:T60)</f>
        <v>396900</v>
      </c>
    </row>
    <row r="62" spans="1:20" ht="15.4" x14ac:dyDescent="0.45">
      <c r="A62" s="170"/>
      <c r="B62" s="171"/>
      <c r="C62" s="172"/>
      <c r="D62" s="172"/>
      <c r="E62" s="195"/>
      <c r="F62" s="196"/>
      <c r="G62" s="196"/>
      <c r="H62" s="197"/>
      <c r="I62" s="195"/>
      <c r="J62" s="212"/>
      <c r="K62" s="52"/>
      <c r="L62" s="52"/>
      <c r="M62" s="52"/>
      <c r="N62" s="52"/>
      <c r="O62" s="52"/>
      <c r="P62" s="52"/>
      <c r="Q62" s="52"/>
      <c r="R62" s="52"/>
      <c r="S62" s="52"/>
      <c r="T62" s="198" t="s">
        <v>0</v>
      </c>
    </row>
    <row r="63" spans="1:20" ht="15.4" x14ac:dyDescent="0.45">
      <c r="A63" s="170"/>
      <c r="B63" s="171"/>
      <c r="C63" s="172"/>
      <c r="D63" s="172"/>
      <c r="E63" s="195"/>
      <c r="F63" s="196"/>
      <c r="G63" s="196"/>
      <c r="H63" s="197"/>
      <c r="I63" s="195"/>
      <c r="J63" s="212"/>
      <c r="K63" s="52"/>
      <c r="L63" s="52"/>
      <c r="M63" s="52"/>
      <c r="N63" s="52"/>
      <c r="O63" s="52"/>
      <c r="P63" s="52"/>
      <c r="Q63" s="52"/>
      <c r="R63" s="52"/>
      <c r="S63" s="52"/>
      <c r="T63" s="198" t="s">
        <v>0</v>
      </c>
    </row>
    <row r="64" spans="1:20" x14ac:dyDescent="0.5">
      <c r="A64" s="170"/>
      <c r="B64" s="171">
        <v>6455</v>
      </c>
      <c r="C64" s="172" t="s">
        <v>147</v>
      </c>
      <c r="D64" s="172"/>
      <c r="E64" s="214">
        <v>0</v>
      </c>
      <c r="F64" s="177">
        <v>0</v>
      </c>
      <c r="G64" s="177"/>
      <c r="I64" s="183"/>
      <c r="J64" s="176"/>
      <c r="K64" s="52"/>
      <c r="L64" s="52"/>
      <c r="M64" s="52"/>
      <c r="N64" s="52"/>
      <c r="O64" s="52"/>
      <c r="P64" s="52"/>
      <c r="Q64" s="52"/>
      <c r="R64" s="52"/>
      <c r="S64" s="52"/>
      <c r="T64" s="177">
        <f t="shared" ref="T64:T69" si="9">SUM(J64:R64)</f>
        <v>0</v>
      </c>
    </row>
    <row r="65" spans="1:20" x14ac:dyDescent="0.5">
      <c r="A65" s="170"/>
      <c r="B65" s="171">
        <v>6460</v>
      </c>
      <c r="C65" s="172" t="s">
        <v>148</v>
      </c>
      <c r="D65" s="172"/>
      <c r="E65" s="181">
        <v>0</v>
      </c>
      <c r="F65" s="180">
        <v>0</v>
      </c>
      <c r="G65" s="180"/>
      <c r="I65" s="183"/>
      <c r="J65" s="179"/>
      <c r="K65" s="180"/>
      <c r="L65" s="180"/>
      <c r="M65" s="180"/>
      <c r="N65" s="180"/>
      <c r="O65" s="180"/>
      <c r="P65" s="180"/>
      <c r="Q65" s="180"/>
      <c r="R65" s="180"/>
      <c r="S65" s="180"/>
      <c r="T65" s="180">
        <f t="shared" si="9"/>
        <v>0</v>
      </c>
    </row>
    <row r="66" spans="1:20" x14ac:dyDescent="0.5">
      <c r="A66" s="170"/>
      <c r="B66" s="171">
        <v>6470</v>
      </c>
      <c r="C66" s="172" t="s">
        <v>149</v>
      </c>
      <c r="D66" s="172"/>
      <c r="E66" s="181">
        <v>3200</v>
      </c>
      <c r="F66" s="180">
        <v>4528</v>
      </c>
      <c r="G66" s="180"/>
      <c r="I66" s="183"/>
      <c r="J66" s="179">
        <v>3200</v>
      </c>
      <c r="K66" s="180"/>
      <c r="L66" s="180"/>
      <c r="M66" s="180"/>
      <c r="N66" s="180"/>
      <c r="O66" s="180"/>
      <c r="P66" s="180"/>
      <c r="Q66" s="180"/>
      <c r="R66" s="180"/>
      <c r="S66" s="180"/>
      <c r="T66" s="180">
        <f t="shared" si="9"/>
        <v>3200</v>
      </c>
    </row>
    <row r="67" spans="1:20" x14ac:dyDescent="0.5">
      <c r="A67" s="170"/>
      <c r="B67" s="171">
        <v>6500</v>
      </c>
      <c r="C67" s="172" t="s">
        <v>150</v>
      </c>
      <c r="D67" s="172"/>
      <c r="E67" s="181">
        <f>1500*12</f>
        <v>18000</v>
      </c>
      <c r="F67" s="180">
        <v>12000</v>
      </c>
      <c r="G67" s="180"/>
      <c r="I67" s="183"/>
      <c r="J67" s="179">
        <v>18000</v>
      </c>
      <c r="K67" s="180"/>
      <c r="L67" s="180"/>
      <c r="M67" s="180"/>
      <c r="N67" s="180"/>
      <c r="O67" s="180"/>
      <c r="P67" s="180"/>
      <c r="Q67" s="180"/>
      <c r="R67" s="180"/>
      <c r="S67" s="180"/>
      <c r="T67" s="180">
        <f t="shared" si="9"/>
        <v>18000</v>
      </c>
    </row>
    <row r="68" spans="1:20" x14ac:dyDescent="0.5">
      <c r="A68" s="170"/>
      <c r="B68" s="171">
        <v>6510</v>
      </c>
      <c r="C68" s="172" t="s">
        <v>151</v>
      </c>
      <c r="D68" s="172"/>
      <c r="E68" s="181">
        <v>7764</v>
      </c>
      <c r="F68" s="180">
        <v>4576</v>
      </c>
      <c r="G68" s="180"/>
      <c r="I68" s="183"/>
      <c r="J68" s="179" t="s">
        <v>0</v>
      </c>
      <c r="K68" s="180"/>
      <c r="L68" s="180"/>
      <c r="M68" s="180"/>
      <c r="N68" s="180"/>
      <c r="O68" s="180" t="s">
        <v>0</v>
      </c>
      <c r="P68" s="180">
        <v>1020</v>
      </c>
      <c r="Q68" s="180"/>
      <c r="R68" s="180">
        <v>6744</v>
      </c>
      <c r="S68" s="180"/>
      <c r="T68" s="180">
        <f t="shared" si="9"/>
        <v>7764</v>
      </c>
    </row>
    <row r="69" spans="1:20" x14ac:dyDescent="0.5">
      <c r="A69" s="170"/>
      <c r="B69" s="171">
        <v>6890</v>
      </c>
      <c r="C69" s="172" t="s">
        <v>152</v>
      </c>
      <c r="D69" s="172"/>
      <c r="E69" s="181">
        <v>0</v>
      </c>
      <c r="F69" s="185">
        <f>1126+2275+155+177+780+318</f>
        <v>4831</v>
      </c>
      <c r="G69" s="180"/>
      <c r="I69" s="183"/>
      <c r="J69" s="186"/>
      <c r="K69" s="185"/>
      <c r="L69" s="185"/>
      <c r="M69" s="185"/>
      <c r="N69" s="185"/>
      <c r="O69" s="185"/>
      <c r="P69" s="185"/>
      <c r="Q69" s="185"/>
      <c r="R69" s="185"/>
      <c r="S69" s="185"/>
      <c r="T69" s="185">
        <f t="shared" si="9"/>
        <v>0</v>
      </c>
    </row>
    <row r="70" spans="1:20" ht="15.4" x14ac:dyDescent="0.45">
      <c r="A70" s="170"/>
      <c r="B70" s="171"/>
      <c r="C70" s="165" t="s">
        <v>153</v>
      </c>
      <c r="D70" s="165"/>
      <c r="E70" s="206">
        <f>SUM(E64:E69)</f>
        <v>28964</v>
      </c>
      <c r="F70" s="217">
        <f>SUM(F64:F69)</f>
        <v>25935</v>
      </c>
      <c r="G70" s="217"/>
      <c r="H70" s="218">
        <f>SUM(E64:E69)</f>
        <v>28964</v>
      </c>
      <c r="I70" s="215"/>
      <c r="J70" s="206">
        <f>SUM(J64:J69)</f>
        <v>21200</v>
      </c>
      <c r="K70" s="206">
        <f t="shared" ref="K70:T70" si="10">SUM(K64:K69)</f>
        <v>0</v>
      </c>
      <c r="L70" s="206">
        <f t="shared" si="10"/>
        <v>0</v>
      </c>
      <c r="M70" s="206">
        <f t="shared" si="10"/>
        <v>0</v>
      </c>
      <c r="N70" s="206">
        <f t="shared" si="10"/>
        <v>0</v>
      </c>
      <c r="O70" s="206">
        <f t="shared" si="10"/>
        <v>0</v>
      </c>
      <c r="P70" s="206">
        <f t="shared" si="10"/>
        <v>1020</v>
      </c>
      <c r="Q70" s="206">
        <f t="shared" si="10"/>
        <v>0</v>
      </c>
      <c r="R70" s="206">
        <f t="shared" si="10"/>
        <v>6744</v>
      </c>
      <c r="S70" s="206">
        <f t="shared" si="10"/>
        <v>0</v>
      </c>
      <c r="T70" s="206">
        <f t="shared" si="10"/>
        <v>28964</v>
      </c>
    </row>
    <row r="71" spans="1:20" ht="15.4" x14ac:dyDescent="0.45">
      <c r="A71" s="170"/>
      <c r="B71" s="171"/>
      <c r="C71" s="208"/>
      <c r="D71" s="208"/>
      <c r="E71" s="195"/>
      <c r="F71" s="196"/>
      <c r="G71" s="196"/>
      <c r="H71" s="197"/>
      <c r="I71" s="195"/>
      <c r="J71" s="212"/>
      <c r="K71" s="52"/>
      <c r="L71" s="52"/>
      <c r="M71" s="52"/>
      <c r="N71" s="52"/>
      <c r="O71" s="52"/>
      <c r="P71" s="52"/>
      <c r="Q71" s="52"/>
      <c r="R71" s="52"/>
      <c r="S71" s="52"/>
      <c r="T71" s="198" t="s">
        <v>0</v>
      </c>
    </row>
    <row r="72" spans="1:20" ht="15.4" x14ac:dyDescent="0.45">
      <c r="A72" s="170"/>
      <c r="B72" s="171"/>
      <c r="C72" s="208"/>
      <c r="D72" s="208"/>
      <c r="E72" s="195"/>
      <c r="F72" s="196"/>
      <c r="G72" s="196"/>
      <c r="H72" s="197"/>
      <c r="I72" s="195"/>
      <c r="J72" s="212"/>
      <c r="K72" s="52"/>
      <c r="L72" s="52"/>
      <c r="M72" s="52"/>
      <c r="N72" s="52"/>
      <c r="O72" s="52"/>
      <c r="P72" s="52"/>
      <c r="Q72" s="52"/>
      <c r="R72" s="52"/>
      <c r="S72" s="52"/>
      <c r="T72" s="198" t="s">
        <v>0</v>
      </c>
    </row>
    <row r="73" spans="1:20" x14ac:dyDescent="0.5">
      <c r="A73" s="170"/>
      <c r="B73" s="171">
        <v>6600</v>
      </c>
      <c r="C73" s="172" t="s">
        <v>154</v>
      </c>
      <c r="D73" s="172"/>
      <c r="E73" s="175">
        <v>4000</v>
      </c>
      <c r="F73" s="174">
        <v>594</v>
      </c>
      <c r="G73" s="174"/>
      <c r="I73" s="183"/>
      <c r="J73" s="176"/>
      <c r="K73" s="52"/>
      <c r="L73" s="52"/>
      <c r="M73" s="52"/>
      <c r="N73" s="52"/>
      <c r="O73" s="177"/>
      <c r="P73" s="177">
        <v>2000</v>
      </c>
      <c r="Q73" s="177"/>
      <c r="R73" s="177">
        <v>2000</v>
      </c>
      <c r="S73" s="177"/>
      <c r="T73" s="177">
        <f t="shared" ref="T73:T81" si="11">SUM(J73:R73)</f>
        <v>4000</v>
      </c>
    </row>
    <row r="74" spans="1:20" x14ac:dyDescent="0.5">
      <c r="A74" s="170"/>
      <c r="B74" s="171">
        <v>6605</v>
      </c>
      <c r="C74" s="199" t="s">
        <v>155</v>
      </c>
      <c r="D74" s="199"/>
      <c r="E74" s="219">
        <v>0</v>
      </c>
      <c r="F74" s="182">
        <v>96</v>
      </c>
      <c r="G74" s="182"/>
      <c r="I74" s="183"/>
      <c r="J74" s="179"/>
      <c r="K74" s="184"/>
      <c r="L74" s="184"/>
      <c r="M74" s="184"/>
      <c r="N74" s="184"/>
      <c r="O74" s="180"/>
      <c r="P74" s="180"/>
      <c r="Q74" s="180"/>
      <c r="R74" s="180"/>
      <c r="S74" s="180"/>
      <c r="T74" s="180">
        <f t="shared" si="11"/>
        <v>0</v>
      </c>
    </row>
    <row r="75" spans="1:20" x14ac:dyDescent="0.5">
      <c r="A75" s="170"/>
      <c r="B75" s="171">
        <v>6610</v>
      </c>
      <c r="C75" s="172" t="s">
        <v>156</v>
      </c>
      <c r="D75" s="172"/>
      <c r="E75" s="219">
        <v>9000</v>
      </c>
      <c r="F75" s="182">
        <v>4854</v>
      </c>
      <c r="G75" s="182"/>
      <c r="I75" s="183"/>
      <c r="J75" s="179"/>
      <c r="K75" s="184"/>
      <c r="L75" s="184"/>
      <c r="M75" s="184"/>
      <c r="N75" s="184"/>
      <c r="O75" s="180"/>
      <c r="P75" s="180">
        <v>2000</v>
      </c>
      <c r="Q75" s="180">
        <v>0</v>
      </c>
      <c r="R75" s="180">
        <v>7000</v>
      </c>
      <c r="S75" s="180"/>
      <c r="T75" s="180">
        <f t="shared" si="11"/>
        <v>9000</v>
      </c>
    </row>
    <row r="76" spans="1:20" x14ac:dyDescent="0.5">
      <c r="A76" s="170"/>
      <c r="B76" s="171">
        <v>6615</v>
      </c>
      <c r="C76" s="172" t="s">
        <v>157</v>
      </c>
      <c r="D76" s="172"/>
      <c r="E76" s="219">
        <v>200</v>
      </c>
      <c r="F76" s="182">
        <v>1997</v>
      </c>
      <c r="G76" s="182"/>
      <c r="I76" s="183"/>
      <c r="J76" s="179">
        <v>200</v>
      </c>
      <c r="K76" s="184"/>
      <c r="L76" s="184"/>
      <c r="M76" s="184"/>
      <c r="N76" s="184"/>
      <c r="O76" s="180"/>
      <c r="P76" s="180"/>
      <c r="Q76" s="180"/>
      <c r="R76" s="180"/>
      <c r="S76" s="180"/>
      <c r="T76" s="180">
        <f t="shared" si="11"/>
        <v>200</v>
      </c>
    </row>
    <row r="77" spans="1:20" x14ac:dyDescent="0.5">
      <c r="A77" s="170"/>
      <c r="B77" s="171">
        <v>6620</v>
      </c>
      <c r="C77" s="199" t="s">
        <v>158</v>
      </c>
      <c r="D77" s="199"/>
      <c r="E77" s="219">
        <v>350</v>
      </c>
      <c r="F77" s="182">
        <v>0</v>
      </c>
      <c r="G77" s="182"/>
      <c r="I77" s="183"/>
      <c r="J77" s="179"/>
      <c r="K77" s="184"/>
      <c r="L77" s="184"/>
      <c r="M77" s="184"/>
      <c r="N77" s="184"/>
      <c r="O77" s="180"/>
      <c r="P77" s="180">
        <v>150</v>
      </c>
      <c r="Q77" s="180"/>
      <c r="R77" s="180">
        <v>200</v>
      </c>
      <c r="S77" s="180"/>
      <c r="T77" s="180">
        <f t="shared" si="11"/>
        <v>350</v>
      </c>
    </row>
    <row r="78" spans="1:20" x14ac:dyDescent="0.5">
      <c r="A78" s="170"/>
      <c r="B78" s="171">
        <v>6625</v>
      </c>
      <c r="C78" s="172" t="s">
        <v>159</v>
      </c>
      <c r="D78" s="172"/>
      <c r="E78" s="219">
        <v>4000</v>
      </c>
      <c r="F78" s="182">
        <v>0</v>
      </c>
      <c r="G78" s="182"/>
      <c r="I78" s="183"/>
      <c r="J78" s="179"/>
      <c r="K78" s="184"/>
      <c r="L78" s="184"/>
      <c r="M78" s="184"/>
      <c r="N78" s="184"/>
      <c r="O78" s="180"/>
      <c r="P78" s="180">
        <v>2000</v>
      </c>
      <c r="Q78" s="180"/>
      <c r="R78" s="180">
        <v>2000</v>
      </c>
      <c r="S78" s="180"/>
      <c r="T78" s="180">
        <f t="shared" si="11"/>
        <v>4000</v>
      </c>
    </row>
    <row r="79" spans="1:20" x14ac:dyDescent="0.5">
      <c r="A79" s="170"/>
      <c r="B79" s="171">
        <v>6630</v>
      </c>
      <c r="C79" s="172" t="s">
        <v>160</v>
      </c>
      <c r="D79" s="172"/>
      <c r="E79" s="219">
        <v>250</v>
      </c>
      <c r="F79" s="182">
        <v>204</v>
      </c>
      <c r="G79" s="182"/>
      <c r="I79" s="183"/>
      <c r="J79" s="179">
        <v>250</v>
      </c>
      <c r="K79" s="184"/>
      <c r="L79" s="184"/>
      <c r="M79" s="184"/>
      <c r="N79" s="184"/>
      <c r="O79" s="180"/>
      <c r="P79" s="180"/>
      <c r="Q79" s="180"/>
      <c r="R79" s="180"/>
      <c r="S79" s="180"/>
      <c r="T79" s="180">
        <f t="shared" si="11"/>
        <v>250</v>
      </c>
    </row>
    <row r="80" spans="1:20" x14ac:dyDescent="0.5">
      <c r="A80" s="170"/>
      <c r="B80" s="171">
        <v>6635</v>
      </c>
      <c r="C80" s="199" t="s">
        <v>161</v>
      </c>
      <c r="D80" s="199"/>
      <c r="E80" s="219">
        <v>1200</v>
      </c>
      <c r="F80" s="182">
        <v>641</v>
      </c>
      <c r="G80" s="182"/>
      <c r="I80" s="183"/>
      <c r="J80" s="179"/>
      <c r="K80" s="184"/>
      <c r="L80" s="184"/>
      <c r="M80" s="184"/>
      <c r="N80" s="184"/>
      <c r="O80" s="180"/>
      <c r="P80" s="180">
        <v>700</v>
      </c>
      <c r="Q80" s="180"/>
      <c r="R80" s="180">
        <v>500</v>
      </c>
      <c r="S80" s="180"/>
      <c r="T80" s="180">
        <f t="shared" si="11"/>
        <v>1200</v>
      </c>
    </row>
    <row r="81" spans="1:22" x14ac:dyDescent="0.5">
      <c r="A81" s="170"/>
      <c r="B81" s="171">
        <v>6640</v>
      </c>
      <c r="C81" s="172" t="s">
        <v>162</v>
      </c>
      <c r="D81" s="172"/>
      <c r="E81" s="219">
        <v>500</v>
      </c>
      <c r="F81" s="188">
        <v>405</v>
      </c>
      <c r="G81" s="182"/>
      <c r="I81" s="183"/>
      <c r="J81" s="186"/>
      <c r="K81" s="187"/>
      <c r="L81" s="187"/>
      <c r="M81" s="187"/>
      <c r="N81" s="187"/>
      <c r="O81" s="185"/>
      <c r="P81" s="185"/>
      <c r="Q81" s="185"/>
      <c r="R81" s="185">
        <v>500</v>
      </c>
      <c r="S81" s="185"/>
      <c r="T81" s="185">
        <f t="shared" si="11"/>
        <v>500</v>
      </c>
    </row>
    <row r="82" spans="1:22" ht="15.4" x14ac:dyDescent="0.45">
      <c r="A82" s="170"/>
      <c r="B82" s="171"/>
      <c r="C82" s="165" t="s">
        <v>163</v>
      </c>
      <c r="D82" s="165"/>
      <c r="E82" s="202">
        <f>SUM(E73:E81)</f>
        <v>19500</v>
      </c>
      <c r="F82" s="203">
        <f>SUM(F73:F81)</f>
        <v>8791</v>
      </c>
      <c r="G82" s="203"/>
      <c r="H82" s="204">
        <f>SUM(E73:E81)</f>
        <v>19500</v>
      </c>
      <c r="I82" s="215"/>
      <c r="J82" s="206">
        <f>SUM(J73:J81)</f>
        <v>450</v>
      </c>
      <c r="K82" s="206">
        <f t="shared" ref="K82:T82" si="12">SUM(K73:K81)</f>
        <v>0</v>
      </c>
      <c r="L82" s="206">
        <f t="shared" si="12"/>
        <v>0</v>
      </c>
      <c r="M82" s="206">
        <f t="shared" si="12"/>
        <v>0</v>
      </c>
      <c r="N82" s="206">
        <f t="shared" si="12"/>
        <v>0</v>
      </c>
      <c r="O82" s="206">
        <f t="shared" si="12"/>
        <v>0</v>
      </c>
      <c r="P82" s="206">
        <f t="shared" si="12"/>
        <v>6850</v>
      </c>
      <c r="Q82" s="206">
        <f t="shared" si="12"/>
        <v>0</v>
      </c>
      <c r="R82" s="206">
        <f t="shared" si="12"/>
        <v>12200</v>
      </c>
      <c r="S82" s="206">
        <f t="shared" si="12"/>
        <v>0</v>
      </c>
      <c r="T82" s="206">
        <f t="shared" si="12"/>
        <v>19500</v>
      </c>
    </row>
    <row r="83" spans="1:22" ht="15.4" x14ac:dyDescent="0.45">
      <c r="A83" s="170"/>
      <c r="B83" s="171"/>
      <c r="C83" s="172"/>
      <c r="D83" s="172"/>
      <c r="E83" s="195"/>
      <c r="F83" s="196"/>
      <c r="G83" s="196"/>
      <c r="H83" s="197"/>
      <c r="I83" s="195"/>
      <c r="J83" s="212"/>
      <c r="K83" s="52"/>
      <c r="L83" s="52"/>
      <c r="M83" s="52"/>
      <c r="N83" s="52"/>
      <c r="O83" s="52"/>
      <c r="P83" s="52"/>
      <c r="Q83" s="52"/>
      <c r="R83" s="52"/>
      <c r="S83" s="52"/>
      <c r="T83" s="198" t="s">
        <v>0</v>
      </c>
    </row>
    <row r="84" spans="1:22" ht="15.4" x14ac:dyDescent="0.45">
      <c r="A84" s="170"/>
      <c r="B84" s="171"/>
      <c r="C84" s="172"/>
      <c r="D84" s="172"/>
      <c r="E84" s="195"/>
      <c r="F84" s="196"/>
      <c r="G84" s="196"/>
      <c r="H84" s="197"/>
      <c r="I84" s="195"/>
      <c r="J84" s="212"/>
      <c r="K84" s="52"/>
      <c r="L84" s="52"/>
      <c r="M84" s="52"/>
      <c r="N84" s="52"/>
      <c r="O84" s="52"/>
      <c r="P84" s="52"/>
      <c r="Q84" s="52"/>
      <c r="R84" s="52"/>
      <c r="S84" s="52"/>
      <c r="T84" s="198" t="s">
        <v>0</v>
      </c>
    </row>
    <row r="85" spans="1:22" x14ac:dyDescent="0.5">
      <c r="A85" s="170"/>
      <c r="B85" s="171">
        <v>6800</v>
      </c>
      <c r="C85" s="172" t="s">
        <v>164</v>
      </c>
      <c r="D85" s="172"/>
      <c r="E85" s="214">
        <v>2850</v>
      </c>
      <c r="F85" s="177">
        <v>1103</v>
      </c>
      <c r="G85" s="177"/>
      <c r="I85" s="183"/>
      <c r="J85" s="176">
        <v>650</v>
      </c>
      <c r="K85" s="177"/>
      <c r="L85" s="177"/>
      <c r="M85" s="177"/>
      <c r="N85" s="177"/>
      <c r="O85" s="177"/>
      <c r="P85" s="177">
        <v>575</v>
      </c>
      <c r="Q85" s="177"/>
      <c r="R85" s="177">
        <v>1625</v>
      </c>
      <c r="S85" s="177"/>
      <c r="T85" s="177">
        <f>SUM(J85:R85)</f>
        <v>2850</v>
      </c>
    </row>
    <row r="86" spans="1:22" x14ac:dyDescent="0.5">
      <c r="A86" s="170"/>
      <c r="B86" s="171">
        <v>6810</v>
      </c>
      <c r="C86" s="172" t="s">
        <v>165</v>
      </c>
      <c r="D86" s="172"/>
      <c r="E86" s="181">
        <v>1784</v>
      </c>
      <c r="F86" s="185">
        <v>1950</v>
      </c>
      <c r="G86" s="180"/>
      <c r="I86" s="183"/>
      <c r="J86" s="186">
        <v>560</v>
      </c>
      <c r="K86" s="185"/>
      <c r="L86" s="185"/>
      <c r="M86" s="185"/>
      <c r="N86" s="185"/>
      <c r="O86" s="185"/>
      <c r="P86" s="185">
        <f>31*12</f>
        <v>372</v>
      </c>
      <c r="Q86" s="185"/>
      <c r="R86" s="185">
        <f>71*12</f>
        <v>852</v>
      </c>
      <c r="S86" s="185"/>
      <c r="T86" s="185">
        <f>SUM(J86:R86)</f>
        <v>1784</v>
      </c>
    </row>
    <row r="87" spans="1:22" ht="15.4" x14ac:dyDescent="0.45">
      <c r="A87" s="170"/>
      <c r="B87" s="171"/>
      <c r="C87" s="165" t="s">
        <v>166</v>
      </c>
      <c r="D87" s="165"/>
      <c r="E87" s="206">
        <f>SUM(E85:E86)</f>
        <v>4634</v>
      </c>
      <c r="F87" s="217">
        <f>SUM(F85:F86)</f>
        <v>3053</v>
      </c>
      <c r="G87" s="217"/>
      <c r="H87" s="218">
        <f>SUM(E85:E86)</f>
        <v>4634</v>
      </c>
      <c r="I87" s="215"/>
      <c r="J87" s="206">
        <f>SUM(J85:J86)</f>
        <v>1210</v>
      </c>
      <c r="K87" s="206">
        <f t="shared" ref="K87:T87" si="13">SUM(K85:K86)</f>
        <v>0</v>
      </c>
      <c r="L87" s="206">
        <f t="shared" si="13"/>
        <v>0</v>
      </c>
      <c r="M87" s="206">
        <f t="shared" si="13"/>
        <v>0</v>
      </c>
      <c r="N87" s="206">
        <f t="shared" si="13"/>
        <v>0</v>
      </c>
      <c r="O87" s="206">
        <f t="shared" si="13"/>
        <v>0</v>
      </c>
      <c r="P87" s="206">
        <f t="shared" si="13"/>
        <v>947</v>
      </c>
      <c r="Q87" s="206">
        <f t="shared" si="13"/>
        <v>0</v>
      </c>
      <c r="R87" s="206">
        <f t="shared" si="13"/>
        <v>2477</v>
      </c>
      <c r="S87" s="206">
        <f t="shared" si="13"/>
        <v>0</v>
      </c>
      <c r="T87" s="206">
        <f t="shared" si="13"/>
        <v>4634</v>
      </c>
    </row>
    <row r="88" spans="1:22" ht="15.4" x14ac:dyDescent="0.45">
      <c r="A88" s="170"/>
      <c r="B88" s="171"/>
      <c r="C88" s="172"/>
      <c r="D88" s="172"/>
      <c r="E88" s="220"/>
      <c r="F88" s="196"/>
      <c r="G88" s="196"/>
      <c r="H88" s="221"/>
      <c r="I88" s="220"/>
      <c r="J88" s="222"/>
      <c r="K88" s="52"/>
      <c r="L88" s="52"/>
      <c r="M88" s="52"/>
      <c r="N88" s="52"/>
      <c r="O88" s="52"/>
      <c r="P88" s="52"/>
      <c r="Q88" s="52"/>
      <c r="R88" s="52"/>
      <c r="S88" s="52"/>
      <c r="T88" s="198" t="s">
        <v>0</v>
      </c>
    </row>
    <row r="89" spans="1:22" s="228" customFormat="1" ht="23.25" x14ac:dyDescent="0.7">
      <c r="A89" s="223"/>
      <c r="B89" s="171"/>
      <c r="C89" s="190" t="s">
        <v>167</v>
      </c>
      <c r="D89" s="190"/>
      <c r="E89" s="224">
        <f>+E35+E50+E61+E70+E82+E87</f>
        <v>2002727.68</v>
      </c>
      <c r="F89" s="224">
        <f>+F35+F50+F61+F70+F82+F87</f>
        <v>971904</v>
      </c>
      <c r="G89" s="224"/>
      <c r="H89" s="225">
        <f>+H35+H50+H61+H70+H82+H87</f>
        <v>2002727.68</v>
      </c>
      <c r="I89" s="226"/>
      <c r="J89" s="224">
        <f>+J35+J50+J61+J70+J82+J87</f>
        <v>312774</v>
      </c>
      <c r="K89" s="224">
        <f t="shared" ref="K89:S89" si="14">+K35+K50+K61+K70+K82+K87</f>
        <v>156500</v>
      </c>
      <c r="L89" s="224">
        <f t="shared" si="14"/>
        <v>144000</v>
      </c>
      <c r="M89" s="224">
        <f t="shared" si="14"/>
        <v>203000</v>
      </c>
      <c r="N89" s="224">
        <f t="shared" si="14"/>
        <v>11200</v>
      </c>
      <c r="O89" s="224">
        <f t="shared" si="14"/>
        <v>7489</v>
      </c>
      <c r="P89" s="224">
        <f t="shared" si="14"/>
        <v>78395</v>
      </c>
      <c r="Q89" s="224">
        <f t="shared" si="14"/>
        <v>93000</v>
      </c>
      <c r="R89" s="224">
        <f t="shared" si="14"/>
        <v>996370</v>
      </c>
      <c r="S89" s="224">
        <f t="shared" si="14"/>
        <v>0</v>
      </c>
      <c r="T89" s="227">
        <f>SUM(J89:R89)</f>
        <v>2002728</v>
      </c>
    </row>
    <row r="90" spans="1:22" ht="15.4" x14ac:dyDescent="0.45">
      <c r="A90" s="170"/>
      <c r="B90" s="171"/>
      <c r="C90" s="172"/>
      <c r="D90" s="172"/>
      <c r="E90" s="229"/>
      <c r="F90" s="196"/>
      <c r="G90" s="196"/>
      <c r="H90" s="230"/>
      <c r="I90" s="229"/>
      <c r="J90" s="231"/>
      <c r="K90" s="52"/>
      <c r="L90" s="52"/>
      <c r="M90" s="52"/>
      <c r="N90" s="52"/>
      <c r="O90" s="52"/>
      <c r="P90" s="52"/>
      <c r="Q90" s="52"/>
      <c r="R90" s="52"/>
      <c r="S90" s="52"/>
      <c r="T90" s="198" t="s">
        <v>0</v>
      </c>
    </row>
    <row r="91" spans="1:22" ht="17.25" customHeight="1" x14ac:dyDescent="0.5">
      <c r="B91" s="98"/>
      <c r="C91" s="232"/>
      <c r="D91" s="232"/>
      <c r="E91" s="229"/>
      <c r="F91" s="196"/>
      <c r="G91" s="196"/>
      <c r="H91" s="230" t="s">
        <v>0</v>
      </c>
      <c r="I91" s="229"/>
      <c r="J91" s="231"/>
      <c r="K91" s="52"/>
      <c r="L91" s="52"/>
      <c r="M91" s="52"/>
      <c r="N91" s="52"/>
      <c r="O91" s="52"/>
      <c r="P91" s="52" t="s">
        <v>0</v>
      </c>
      <c r="Q91" s="52" t="s">
        <v>0</v>
      </c>
      <c r="R91" s="52"/>
      <c r="S91" s="52"/>
      <c r="T91" s="198" t="s">
        <v>0</v>
      </c>
    </row>
    <row r="92" spans="1:22" s="233" customFormat="1" ht="18.399999999999999" thickBot="1" x14ac:dyDescent="0.6">
      <c r="B92" s="234"/>
      <c r="C92" s="235" t="s">
        <v>168</v>
      </c>
      <c r="D92" s="235"/>
      <c r="E92" s="236">
        <f>+E25-E89</f>
        <v>-99607.679999999935</v>
      </c>
      <c r="F92" s="236">
        <f>+F25-F89</f>
        <v>6894</v>
      </c>
      <c r="G92" s="236"/>
      <c r="H92" s="236">
        <f>+H25-H89</f>
        <v>-99607.679999999935</v>
      </c>
      <c r="I92" s="237"/>
      <c r="J92" s="238">
        <f>+J25-J89</f>
        <v>0</v>
      </c>
      <c r="K92" s="238">
        <f t="shared" ref="K92:S92" si="15">+K25-K89</f>
        <v>0</v>
      </c>
      <c r="L92" s="238">
        <f t="shared" si="15"/>
        <v>0</v>
      </c>
      <c r="M92" s="238">
        <f t="shared" si="15"/>
        <v>0</v>
      </c>
      <c r="N92" s="238">
        <f t="shared" si="15"/>
        <v>0</v>
      </c>
      <c r="O92" s="238">
        <f t="shared" si="15"/>
        <v>0</v>
      </c>
      <c r="P92" s="238">
        <f>+P25-P89</f>
        <v>0</v>
      </c>
      <c r="Q92" s="238">
        <f t="shared" si="15"/>
        <v>0</v>
      </c>
      <c r="R92" s="238">
        <f t="shared" si="15"/>
        <v>0</v>
      </c>
      <c r="S92" s="238">
        <f t="shared" si="15"/>
        <v>0</v>
      </c>
      <c r="T92" s="239">
        <f>SUM(J92:S92)</f>
        <v>0</v>
      </c>
      <c r="U92" s="240" t="s">
        <v>0</v>
      </c>
      <c r="V92" s="233" t="s">
        <v>0</v>
      </c>
    </row>
    <row r="93" spans="1:22" ht="16.149999999999999" thickTop="1" x14ac:dyDescent="0.5">
      <c r="B93" s="234"/>
      <c r="C93" s="232"/>
      <c r="D93" s="232"/>
      <c r="E93" s="229"/>
      <c r="F93" s="196"/>
      <c r="G93" s="196"/>
      <c r="H93" s="230"/>
      <c r="I93" s="229"/>
      <c r="J93" s="229"/>
      <c r="K93" s="178"/>
      <c r="L93" s="178"/>
      <c r="M93" s="178"/>
      <c r="N93" s="178"/>
      <c r="O93" s="178"/>
    </row>
    <row r="94" spans="1:22" x14ac:dyDescent="0.5">
      <c r="B94" s="98"/>
      <c r="C94" s="150"/>
      <c r="D94" s="150"/>
      <c r="E94" s="229"/>
      <c r="F94" s="196"/>
      <c r="G94" s="196"/>
      <c r="H94" s="229"/>
      <c r="I94" s="229"/>
      <c r="J94" s="229"/>
      <c r="K94" s="178"/>
      <c r="L94" s="178"/>
      <c r="M94" s="178"/>
      <c r="N94" s="178"/>
      <c r="O94" s="178"/>
      <c r="P94" s="241"/>
      <c r="Q94" s="241"/>
    </row>
    <row r="95" spans="1:22" x14ac:dyDescent="0.5">
      <c r="B95" s="98"/>
      <c r="E95" s="229"/>
      <c r="F95" s="196"/>
      <c r="G95" s="196"/>
      <c r="H95" s="229"/>
      <c r="I95" s="229"/>
      <c r="J95" s="229"/>
      <c r="K95" s="178"/>
      <c r="L95" s="178"/>
      <c r="M95" s="178"/>
      <c r="N95" s="178"/>
      <c r="O95" s="178"/>
      <c r="P95" s="241"/>
      <c r="Q95" s="241"/>
    </row>
    <row r="96" spans="1:22" x14ac:dyDescent="0.45">
      <c r="B96" s="98"/>
      <c r="C96" s="242"/>
      <c r="D96" s="242"/>
      <c r="E96" s="229"/>
      <c r="F96" s="196"/>
      <c r="G96" s="196"/>
      <c r="H96" s="229"/>
      <c r="I96" s="229"/>
      <c r="J96" s="229"/>
      <c r="K96" s="178"/>
      <c r="L96" s="178"/>
      <c r="M96" s="178"/>
      <c r="N96" s="178"/>
      <c r="O96" s="178"/>
      <c r="P96" s="52"/>
      <c r="Q96" s="52"/>
    </row>
    <row r="97" spans="2:17" x14ac:dyDescent="0.5">
      <c r="B97" s="98"/>
      <c r="E97" s="229"/>
      <c r="F97" s="196"/>
      <c r="G97" s="196"/>
      <c r="H97" s="229"/>
      <c r="I97" s="229"/>
      <c r="J97" s="229"/>
      <c r="K97" s="178"/>
      <c r="L97" s="178"/>
      <c r="M97" s="178"/>
      <c r="N97" s="178"/>
      <c r="O97" s="178"/>
      <c r="P97" s="52"/>
      <c r="Q97" s="52"/>
    </row>
    <row r="98" spans="2:17" x14ac:dyDescent="0.45">
      <c r="B98" s="243"/>
      <c r="C98" s="242"/>
      <c r="D98" s="242"/>
      <c r="E98" s="229"/>
      <c r="F98" s="196"/>
      <c r="G98" s="196"/>
      <c r="H98" s="229"/>
      <c r="I98" s="229"/>
      <c r="J98" s="229"/>
      <c r="K98" s="178"/>
      <c r="L98" s="178"/>
      <c r="M98" s="178"/>
      <c r="N98" s="178"/>
      <c r="O98" s="178"/>
      <c r="P98" s="52"/>
      <c r="Q98" s="52"/>
    </row>
    <row r="99" spans="2:17" x14ac:dyDescent="0.5">
      <c r="B99" s="98"/>
      <c r="E99" s="229"/>
      <c r="F99" s="196"/>
      <c r="G99" s="196"/>
      <c r="H99" s="229"/>
      <c r="I99" s="229"/>
      <c r="J99" s="229"/>
      <c r="K99" s="178"/>
      <c r="L99" s="178"/>
      <c r="M99" s="178"/>
      <c r="N99" s="178"/>
      <c r="O99" s="178"/>
      <c r="P99" s="52"/>
      <c r="Q99" s="52"/>
    </row>
    <row r="100" spans="2:17" x14ac:dyDescent="0.5">
      <c r="B100" s="98"/>
      <c r="E100" s="244"/>
      <c r="F100" s="196"/>
      <c r="G100" s="196"/>
      <c r="H100" s="244"/>
      <c r="I100" s="244"/>
      <c r="J100" s="244"/>
      <c r="K100" s="178"/>
      <c r="L100" s="178"/>
      <c r="M100" s="178"/>
      <c r="N100" s="178"/>
      <c r="O100" s="178"/>
      <c r="P100" s="52"/>
      <c r="Q100" s="52"/>
    </row>
    <row r="101" spans="2:17" x14ac:dyDescent="0.5">
      <c r="B101" s="98"/>
      <c r="E101" s="244"/>
      <c r="F101" s="196"/>
      <c r="G101" s="196"/>
      <c r="H101" s="244" t="s">
        <v>0</v>
      </c>
      <c r="I101" s="244"/>
      <c r="J101" s="244"/>
      <c r="K101" s="178"/>
      <c r="L101" s="178"/>
      <c r="M101" s="178"/>
      <c r="N101" s="178"/>
      <c r="O101" s="178"/>
      <c r="P101" s="52"/>
      <c r="Q101" s="52"/>
    </row>
    <row r="102" spans="2:17" x14ac:dyDescent="0.5">
      <c r="B102" s="98"/>
      <c r="E102" s="244"/>
      <c r="F102" s="196"/>
      <c r="G102" s="196"/>
      <c r="H102" s="244"/>
      <c r="I102" s="244"/>
      <c r="J102" s="244"/>
      <c r="K102" s="178"/>
      <c r="L102" s="178"/>
      <c r="M102" s="178"/>
      <c r="N102" s="178"/>
      <c r="O102" s="245"/>
      <c r="P102" s="52"/>
      <c r="Q102" s="52"/>
    </row>
    <row r="103" spans="2:17" x14ac:dyDescent="0.5">
      <c r="B103" s="98"/>
      <c r="E103" s="244"/>
      <c r="F103" s="196"/>
      <c r="G103" s="196"/>
      <c r="H103" s="244"/>
      <c r="I103" s="244"/>
      <c r="J103" s="244"/>
      <c r="K103" s="7"/>
      <c r="L103" s="7"/>
      <c r="M103" s="7"/>
      <c r="N103" s="7"/>
      <c r="O103" s="245"/>
    </row>
    <row r="104" spans="2:17" x14ac:dyDescent="0.5">
      <c r="B104" s="98"/>
      <c r="E104" s="244"/>
      <c r="F104" s="196"/>
      <c r="G104" s="196"/>
      <c r="H104" s="244"/>
      <c r="I104" s="244"/>
      <c r="J104" s="244"/>
      <c r="K104" s="7"/>
      <c r="L104" s="7"/>
      <c r="M104" s="7"/>
      <c r="N104" s="7"/>
      <c r="O104" s="245"/>
      <c r="P104" s="241"/>
    </row>
    <row r="105" spans="2:17" x14ac:dyDescent="0.5">
      <c r="B105" s="98"/>
      <c r="E105" s="244"/>
      <c r="F105" s="196"/>
      <c r="G105" s="196"/>
      <c r="H105" s="244"/>
      <c r="I105" s="244"/>
      <c r="J105" s="244"/>
      <c r="K105" s="7"/>
      <c r="L105" s="7"/>
      <c r="M105" s="7"/>
      <c r="N105" s="7"/>
      <c r="O105" s="245"/>
    </row>
    <row r="106" spans="2:17" x14ac:dyDescent="0.5">
      <c r="B106" s="98"/>
      <c r="E106" s="244"/>
      <c r="F106" s="196"/>
      <c r="G106" s="196"/>
      <c r="H106" s="244"/>
      <c r="I106" s="244"/>
      <c r="J106" s="244"/>
      <c r="K106" s="7"/>
      <c r="L106" s="7"/>
      <c r="M106" s="7"/>
      <c r="N106" s="7"/>
      <c r="O106" s="245"/>
    </row>
    <row r="107" spans="2:17" x14ac:dyDescent="0.5">
      <c r="B107" s="98"/>
      <c r="E107" s="244"/>
      <c r="F107" s="196"/>
      <c r="G107" s="196"/>
      <c r="H107" s="244"/>
      <c r="I107" s="244"/>
      <c r="J107" s="244"/>
      <c r="K107" s="7"/>
      <c r="L107" s="7"/>
      <c r="M107" s="7"/>
      <c r="N107" s="7"/>
      <c r="O107" s="245"/>
    </row>
    <row r="108" spans="2:17" x14ac:dyDescent="0.5">
      <c r="B108" s="98"/>
      <c r="E108" s="244"/>
      <c r="F108" s="196"/>
      <c r="G108" s="196"/>
      <c r="H108" s="244"/>
      <c r="I108" s="244"/>
      <c r="J108" s="244"/>
      <c r="K108" s="7"/>
      <c r="L108" s="7"/>
      <c r="M108" s="7"/>
      <c r="N108" s="7"/>
      <c r="O108" s="245"/>
    </row>
    <row r="109" spans="2:17" x14ac:dyDescent="0.5">
      <c r="B109" s="98"/>
      <c r="E109" s="244"/>
      <c r="F109" s="196"/>
      <c r="G109" s="196"/>
      <c r="H109" s="244"/>
      <c r="I109" s="244"/>
      <c r="J109" s="244"/>
      <c r="K109" s="7"/>
      <c r="L109" s="7"/>
      <c r="M109" s="7"/>
      <c r="N109" s="7"/>
      <c r="O109" s="245"/>
    </row>
    <row r="110" spans="2:17" x14ac:dyDescent="0.5">
      <c r="B110" s="19"/>
      <c r="E110" s="244"/>
      <c r="F110" s="244"/>
      <c r="G110" s="244"/>
      <c r="H110" s="244"/>
      <c r="I110" s="244"/>
      <c r="J110" s="244"/>
      <c r="K110" s="7"/>
      <c r="L110" s="7"/>
      <c r="M110" s="7"/>
      <c r="N110" s="7"/>
      <c r="O110" s="245"/>
    </row>
    <row r="111" spans="2:17" x14ac:dyDescent="0.5">
      <c r="B111" s="149"/>
      <c r="E111" s="244"/>
      <c r="F111" s="244"/>
      <c r="G111" s="244"/>
      <c r="H111" s="244"/>
      <c r="I111" s="244"/>
      <c r="J111" s="244"/>
      <c r="K111" s="7"/>
      <c r="L111" s="7"/>
      <c r="M111" s="7"/>
      <c r="N111" s="7"/>
      <c r="O111" s="245"/>
    </row>
    <row r="112" spans="2:17" x14ac:dyDescent="0.5">
      <c r="B112" s="149"/>
      <c r="E112" s="244"/>
      <c r="F112" s="244"/>
      <c r="G112" s="244"/>
      <c r="H112" s="244"/>
      <c r="I112" s="244"/>
      <c r="J112" s="244"/>
      <c r="K112" s="7"/>
      <c r="L112" s="7"/>
      <c r="M112" s="7"/>
      <c r="N112" s="7"/>
      <c r="O112" s="245"/>
    </row>
    <row r="113" spans="2:15" x14ac:dyDescent="0.5">
      <c r="B113" s="149"/>
      <c r="E113" s="244"/>
      <c r="F113" s="244"/>
      <c r="G113" s="244"/>
      <c r="H113" s="244"/>
      <c r="I113" s="244"/>
      <c r="J113" s="244"/>
      <c r="K113" s="7"/>
      <c r="L113" s="7"/>
      <c r="M113" s="7"/>
      <c r="N113" s="7"/>
      <c r="O113" s="245"/>
    </row>
    <row r="114" spans="2:15" x14ac:dyDescent="0.5">
      <c r="B114" s="149"/>
      <c r="E114" s="244"/>
      <c r="F114" s="244"/>
      <c r="G114" s="244"/>
      <c r="H114" s="244"/>
      <c r="I114" s="244"/>
      <c r="J114" s="244"/>
      <c r="K114" s="7"/>
      <c r="L114" s="7"/>
      <c r="M114" s="7"/>
      <c r="N114" s="7"/>
      <c r="O114" s="7"/>
    </row>
    <row r="115" spans="2:15" x14ac:dyDescent="0.5">
      <c r="B115" s="149"/>
      <c r="E115" s="244"/>
      <c r="F115" s="244"/>
      <c r="G115" s="244"/>
      <c r="H115" s="244"/>
      <c r="I115" s="244"/>
      <c r="J115" s="244"/>
      <c r="K115" s="7"/>
      <c r="L115" s="7"/>
      <c r="M115" s="7"/>
      <c r="N115" s="7"/>
      <c r="O115" s="7"/>
    </row>
    <row r="116" spans="2:15" x14ac:dyDescent="0.5">
      <c r="B116" s="149"/>
      <c r="E116" s="244"/>
      <c r="F116" s="244"/>
      <c r="G116" s="244"/>
      <c r="H116" s="244"/>
      <c r="I116" s="244"/>
      <c r="J116" s="244"/>
      <c r="K116" s="7"/>
      <c r="L116" s="7"/>
      <c r="M116" s="7"/>
      <c r="N116" s="7"/>
      <c r="O116" s="7"/>
    </row>
    <row r="117" spans="2:15" x14ac:dyDescent="0.5">
      <c r="B117" s="149"/>
      <c r="E117" s="246"/>
      <c r="F117" s="246"/>
      <c r="G117" s="246"/>
      <c r="H117" s="246"/>
      <c r="I117" s="246"/>
      <c r="J117" s="246"/>
      <c r="K117" s="7"/>
      <c r="L117" s="7"/>
      <c r="M117" s="7"/>
      <c r="N117" s="7"/>
      <c r="O117" s="7"/>
    </row>
    <row r="118" spans="2:15" x14ac:dyDescent="0.5">
      <c r="B118" s="149"/>
      <c r="E118" s="246"/>
      <c r="F118" s="246"/>
      <c r="G118" s="246"/>
      <c r="H118" s="246"/>
      <c r="I118" s="246"/>
      <c r="J118" s="246"/>
      <c r="K118" s="7"/>
      <c r="L118" s="7"/>
      <c r="M118" s="7"/>
      <c r="N118" s="7"/>
      <c r="O118" s="7"/>
    </row>
    <row r="119" spans="2:15" x14ac:dyDescent="0.5">
      <c r="B119" s="149"/>
      <c r="E119" s="246"/>
      <c r="F119" s="246"/>
      <c r="G119" s="246"/>
      <c r="H119" s="246"/>
      <c r="I119" s="246"/>
      <c r="J119" s="246"/>
      <c r="K119" s="7"/>
      <c r="L119" s="7"/>
      <c r="M119" s="7"/>
      <c r="N119" s="7"/>
      <c r="O119" s="7"/>
    </row>
    <row r="120" spans="2:15" x14ac:dyDescent="0.5">
      <c r="B120" s="149"/>
      <c r="E120" s="246"/>
      <c r="F120" s="246"/>
      <c r="G120" s="246"/>
      <c r="H120" s="246"/>
      <c r="I120" s="246"/>
      <c r="J120" s="246"/>
    </row>
    <row r="121" spans="2:15" x14ac:dyDescent="0.5">
      <c r="B121" s="149"/>
      <c r="E121" s="246"/>
      <c r="F121" s="246"/>
      <c r="G121" s="246"/>
      <c r="H121" s="246"/>
      <c r="I121" s="246"/>
      <c r="J121" s="246"/>
    </row>
    <row r="122" spans="2:15" x14ac:dyDescent="0.5">
      <c r="B122" s="149"/>
      <c r="E122" s="246"/>
      <c r="F122" s="246"/>
      <c r="G122" s="246"/>
      <c r="H122" s="246"/>
      <c r="I122" s="246"/>
      <c r="J122" s="246"/>
    </row>
    <row r="123" spans="2:15" x14ac:dyDescent="0.5">
      <c r="B123" s="149"/>
      <c r="E123" s="246"/>
      <c r="F123" s="246"/>
      <c r="G123" s="246"/>
      <c r="H123" s="246"/>
      <c r="I123" s="246"/>
      <c r="J123" s="246"/>
    </row>
    <row r="124" spans="2:15" x14ac:dyDescent="0.5">
      <c r="B124" s="149"/>
      <c r="E124" s="246"/>
      <c r="F124" s="246"/>
      <c r="G124" s="246"/>
      <c r="H124" s="246"/>
      <c r="I124" s="246"/>
      <c r="J124" s="246"/>
    </row>
    <row r="125" spans="2:15" x14ac:dyDescent="0.5">
      <c r="B125" s="149"/>
      <c r="E125" s="246"/>
      <c r="F125" s="246"/>
      <c r="G125" s="246"/>
      <c r="H125" s="246"/>
      <c r="I125" s="246"/>
      <c r="J125" s="246"/>
    </row>
    <row r="126" spans="2:15" x14ac:dyDescent="0.5">
      <c r="B126" s="149"/>
      <c r="E126" s="246"/>
      <c r="F126" s="246"/>
      <c r="G126" s="246"/>
      <c r="H126" s="246"/>
      <c r="I126" s="246"/>
      <c r="J126" s="246"/>
    </row>
    <row r="127" spans="2:15" x14ac:dyDescent="0.5">
      <c r="B127" s="149"/>
      <c r="E127" s="246"/>
      <c r="F127" s="246"/>
      <c r="G127" s="246"/>
      <c r="H127" s="246"/>
      <c r="I127" s="246"/>
      <c r="J127" s="246"/>
    </row>
    <row r="128" spans="2:15" x14ac:dyDescent="0.5">
      <c r="B128" s="149"/>
      <c r="E128" s="246"/>
      <c r="F128" s="246"/>
      <c r="G128" s="246"/>
      <c r="H128" s="246"/>
      <c r="I128" s="246"/>
      <c r="J128" s="246"/>
    </row>
    <row r="129" spans="2:10" x14ac:dyDescent="0.5">
      <c r="B129" s="149"/>
      <c r="E129" s="246"/>
      <c r="F129" s="246"/>
      <c r="G129" s="246"/>
      <c r="H129" s="246"/>
      <c r="I129" s="246"/>
      <c r="J129" s="246"/>
    </row>
    <row r="130" spans="2:10" x14ac:dyDescent="0.5">
      <c r="B130" s="149"/>
      <c r="E130" s="246"/>
      <c r="F130" s="246"/>
      <c r="G130" s="246"/>
      <c r="H130" s="246"/>
      <c r="I130" s="246"/>
      <c r="J130" s="246"/>
    </row>
    <row r="131" spans="2:10" x14ac:dyDescent="0.5">
      <c r="B131" s="149"/>
      <c r="E131" s="246"/>
      <c r="F131" s="246"/>
      <c r="G131" s="246"/>
      <c r="H131" s="246"/>
      <c r="I131" s="246"/>
      <c r="J131" s="246"/>
    </row>
    <row r="132" spans="2:10" x14ac:dyDescent="0.5">
      <c r="B132" s="149"/>
      <c r="E132" s="246"/>
      <c r="F132" s="246"/>
      <c r="G132" s="246"/>
      <c r="H132" s="246"/>
      <c r="I132" s="246"/>
      <c r="J132" s="246"/>
    </row>
    <row r="133" spans="2:10" x14ac:dyDescent="0.5">
      <c r="B133" s="149"/>
      <c r="E133" s="246"/>
      <c r="F133" s="246"/>
      <c r="G133" s="246"/>
      <c r="H133" s="246"/>
      <c r="I133" s="246"/>
      <c r="J133" s="246"/>
    </row>
    <row r="134" spans="2:10" x14ac:dyDescent="0.5">
      <c r="B134" s="149"/>
      <c r="E134" s="246"/>
      <c r="F134" s="246"/>
      <c r="G134" s="246"/>
      <c r="H134" s="246"/>
      <c r="I134" s="246"/>
      <c r="J134" s="246"/>
    </row>
    <row r="135" spans="2:10" x14ac:dyDescent="0.5">
      <c r="B135" s="149"/>
      <c r="E135" s="246"/>
      <c r="F135" s="246"/>
      <c r="G135" s="246"/>
      <c r="H135" s="246"/>
      <c r="I135" s="246"/>
      <c r="J135" s="246"/>
    </row>
    <row r="136" spans="2:10" x14ac:dyDescent="0.5">
      <c r="B136" s="149"/>
      <c r="E136" s="246"/>
      <c r="F136" s="246"/>
      <c r="G136" s="246"/>
      <c r="H136" s="246"/>
      <c r="I136" s="246"/>
      <c r="J136" s="246"/>
    </row>
    <row r="137" spans="2:10" x14ac:dyDescent="0.5">
      <c r="B137" s="149"/>
      <c r="E137" s="246"/>
      <c r="F137" s="246"/>
      <c r="G137" s="246"/>
      <c r="H137" s="246"/>
      <c r="I137" s="246"/>
      <c r="J137" s="246"/>
    </row>
    <row r="138" spans="2:10" x14ac:dyDescent="0.5">
      <c r="B138" s="149"/>
      <c r="E138" s="246"/>
      <c r="F138" s="246"/>
      <c r="G138" s="246"/>
      <c r="H138" s="246"/>
      <c r="I138" s="246"/>
      <c r="J138" s="246"/>
    </row>
    <row r="139" spans="2:10" x14ac:dyDescent="0.5">
      <c r="B139" s="149"/>
      <c r="E139" s="246"/>
      <c r="F139" s="246"/>
      <c r="G139" s="246"/>
      <c r="H139" s="246"/>
      <c r="I139" s="246"/>
      <c r="J139" s="246"/>
    </row>
    <row r="140" spans="2:10" x14ac:dyDescent="0.5">
      <c r="B140" s="149"/>
      <c r="E140" s="246"/>
      <c r="F140" s="246"/>
      <c r="G140" s="246"/>
      <c r="H140" s="246"/>
      <c r="I140" s="246"/>
      <c r="J140" s="246"/>
    </row>
    <row r="141" spans="2:10" x14ac:dyDescent="0.5">
      <c r="B141" s="149"/>
      <c r="E141" s="246"/>
      <c r="F141" s="246"/>
      <c r="G141" s="246"/>
      <c r="H141" s="246"/>
      <c r="I141" s="246"/>
      <c r="J141" s="246"/>
    </row>
    <row r="142" spans="2:10" x14ac:dyDescent="0.5">
      <c r="B142" s="149"/>
      <c r="E142" s="246"/>
      <c r="F142" s="246"/>
      <c r="G142" s="246"/>
      <c r="H142" s="246"/>
      <c r="I142" s="246"/>
      <c r="J142" s="246"/>
    </row>
    <row r="143" spans="2:10" x14ac:dyDescent="0.5">
      <c r="B143" s="149"/>
      <c r="E143" s="246"/>
      <c r="F143" s="246"/>
      <c r="G143" s="246"/>
      <c r="H143" s="246"/>
      <c r="I143" s="246"/>
      <c r="J143" s="246"/>
    </row>
    <row r="144" spans="2:10" x14ac:dyDescent="0.5">
      <c r="B144" s="149"/>
      <c r="E144" s="246"/>
      <c r="F144" s="246"/>
      <c r="G144" s="246"/>
      <c r="H144" s="246"/>
      <c r="I144" s="246"/>
      <c r="J144" s="246"/>
    </row>
    <row r="145" spans="2:10" x14ac:dyDescent="0.5">
      <c r="B145" s="149"/>
      <c r="E145" s="246"/>
      <c r="F145" s="246"/>
      <c r="G145" s="246"/>
      <c r="H145" s="246"/>
      <c r="I145" s="246"/>
      <c r="J145" s="246"/>
    </row>
    <row r="146" spans="2:10" x14ac:dyDescent="0.5">
      <c r="B146" s="149"/>
      <c r="E146" s="246"/>
      <c r="F146" s="246"/>
      <c r="G146" s="246"/>
      <c r="H146" s="246"/>
      <c r="I146" s="246"/>
      <c r="J146" s="246"/>
    </row>
    <row r="147" spans="2:10" x14ac:dyDescent="0.5">
      <c r="B147" s="149"/>
      <c r="E147" s="246"/>
      <c r="F147" s="246"/>
      <c r="G147" s="246"/>
      <c r="H147" s="246"/>
      <c r="I147" s="246"/>
      <c r="J147" s="246"/>
    </row>
    <row r="148" spans="2:10" x14ac:dyDescent="0.5">
      <c r="B148" s="149"/>
      <c r="E148" s="246"/>
      <c r="F148" s="246"/>
      <c r="G148" s="246"/>
      <c r="H148" s="246"/>
      <c r="I148" s="246"/>
      <c r="J148" s="246"/>
    </row>
    <row r="149" spans="2:10" x14ac:dyDescent="0.5">
      <c r="B149" s="149"/>
      <c r="E149" s="246"/>
      <c r="F149" s="246"/>
      <c r="G149" s="246"/>
      <c r="H149" s="246"/>
      <c r="I149" s="246"/>
      <c r="J149" s="246"/>
    </row>
    <row r="150" spans="2:10" x14ac:dyDescent="0.5">
      <c r="B150" s="149"/>
      <c r="E150" s="246"/>
      <c r="F150" s="246"/>
      <c r="G150" s="246"/>
      <c r="H150" s="246"/>
      <c r="I150" s="246"/>
      <c r="J150" s="246"/>
    </row>
    <row r="151" spans="2:10" x14ac:dyDescent="0.5">
      <c r="B151" s="149"/>
      <c r="E151" s="246"/>
      <c r="F151" s="246"/>
      <c r="G151" s="246"/>
      <c r="H151" s="246"/>
      <c r="I151" s="246"/>
      <c r="J151" s="246"/>
    </row>
    <row r="152" spans="2:10" x14ac:dyDescent="0.5">
      <c r="B152" s="149"/>
      <c r="E152" s="246"/>
      <c r="F152" s="246"/>
      <c r="G152" s="246"/>
      <c r="H152" s="246"/>
      <c r="I152" s="246"/>
      <c r="J152" s="246"/>
    </row>
    <row r="153" spans="2:10" x14ac:dyDescent="0.5">
      <c r="B153" s="149"/>
      <c r="E153" s="246"/>
      <c r="F153" s="246"/>
      <c r="G153" s="246"/>
      <c r="H153" s="246"/>
      <c r="I153" s="246"/>
      <c r="J153" s="246"/>
    </row>
    <row r="154" spans="2:10" x14ac:dyDescent="0.5">
      <c r="B154" s="149"/>
      <c r="E154" s="246"/>
      <c r="F154" s="246"/>
      <c r="G154" s="246"/>
      <c r="H154" s="246"/>
      <c r="I154" s="246"/>
      <c r="J154" s="246"/>
    </row>
    <row r="155" spans="2:10" x14ac:dyDescent="0.5">
      <c r="B155" s="149"/>
      <c r="E155" s="246"/>
      <c r="F155" s="246"/>
      <c r="G155" s="246"/>
      <c r="H155" s="246"/>
      <c r="I155" s="246"/>
      <c r="J155" s="246"/>
    </row>
    <row r="156" spans="2:10" x14ac:dyDescent="0.5">
      <c r="B156" s="149"/>
      <c r="E156" s="246"/>
      <c r="F156" s="246"/>
      <c r="G156" s="246"/>
      <c r="H156" s="246"/>
      <c r="I156" s="246"/>
      <c r="J156" s="246"/>
    </row>
    <row r="157" spans="2:10" x14ac:dyDescent="0.5">
      <c r="B157" s="149"/>
      <c r="E157" s="246"/>
      <c r="F157" s="246"/>
      <c r="G157" s="246"/>
      <c r="H157" s="246"/>
      <c r="I157" s="246"/>
      <c r="J157" s="246"/>
    </row>
    <row r="158" spans="2:10" x14ac:dyDescent="0.5">
      <c r="B158" s="149"/>
      <c r="E158" s="246"/>
      <c r="F158" s="246"/>
      <c r="G158" s="246"/>
      <c r="H158" s="246"/>
      <c r="I158" s="246"/>
      <c r="J158" s="246"/>
    </row>
    <row r="159" spans="2:10" x14ac:dyDescent="0.5">
      <c r="B159" s="149"/>
      <c r="E159" s="246"/>
      <c r="F159" s="246"/>
      <c r="G159" s="246"/>
      <c r="H159" s="246"/>
      <c r="I159" s="246"/>
      <c r="J159" s="246"/>
    </row>
    <row r="160" spans="2:10" x14ac:dyDescent="0.5">
      <c r="B160" s="149"/>
      <c r="E160" s="246"/>
      <c r="F160" s="246"/>
      <c r="G160" s="246"/>
      <c r="H160" s="246"/>
      <c r="I160" s="246"/>
      <c r="J160" s="246"/>
    </row>
    <row r="161" spans="2:10" x14ac:dyDescent="0.5">
      <c r="B161" s="149"/>
      <c r="E161" s="246"/>
      <c r="F161" s="246"/>
      <c r="G161" s="246"/>
      <c r="H161" s="246"/>
      <c r="I161" s="246"/>
      <c r="J161" s="246"/>
    </row>
    <row r="162" spans="2:10" x14ac:dyDescent="0.5">
      <c r="B162" s="149"/>
      <c r="E162" s="246"/>
      <c r="F162" s="246"/>
      <c r="G162" s="246"/>
      <c r="H162" s="246"/>
      <c r="I162" s="246"/>
      <c r="J162" s="246"/>
    </row>
    <row r="163" spans="2:10" x14ac:dyDescent="0.5">
      <c r="B163" s="149"/>
      <c r="E163" s="246"/>
      <c r="F163" s="246"/>
      <c r="G163" s="246"/>
      <c r="H163" s="246"/>
      <c r="I163" s="246"/>
      <c r="J163" s="246"/>
    </row>
    <row r="164" spans="2:10" x14ac:dyDescent="0.5">
      <c r="B164" s="149"/>
      <c r="E164" s="246"/>
      <c r="F164" s="246"/>
      <c r="G164" s="246"/>
      <c r="H164" s="246"/>
      <c r="I164" s="246"/>
      <c r="J164" s="246"/>
    </row>
    <row r="165" spans="2:10" x14ac:dyDescent="0.5">
      <c r="B165" s="149"/>
      <c r="E165" s="246"/>
      <c r="F165" s="246"/>
      <c r="G165" s="246"/>
      <c r="H165" s="246"/>
      <c r="I165" s="246"/>
      <c r="J165" s="246"/>
    </row>
    <row r="166" spans="2:10" x14ac:dyDescent="0.5">
      <c r="B166" s="149"/>
      <c r="E166" s="246"/>
      <c r="F166" s="246"/>
      <c r="G166" s="246"/>
      <c r="H166" s="246"/>
      <c r="I166" s="246"/>
      <c r="J166" s="246"/>
    </row>
    <row r="167" spans="2:10" x14ac:dyDescent="0.5">
      <c r="B167" s="149"/>
      <c r="E167" s="246"/>
      <c r="F167" s="246"/>
      <c r="G167" s="246"/>
      <c r="H167" s="246"/>
      <c r="I167" s="246"/>
      <c r="J167" s="246"/>
    </row>
    <row r="168" spans="2:10" x14ac:dyDescent="0.5">
      <c r="B168" s="149"/>
      <c r="E168" s="246"/>
      <c r="F168" s="246"/>
      <c r="G168" s="246"/>
      <c r="H168" s="246"/>
      <c r="I168" s="246"/>
      <c r="J168" s="246"/>
    </row>
    <row r="169" spans="2:10" x14ac:dyDescent="0.5">
      <c r="B169" s="149"/>
      <c r="E169" s="246"/>
      <c r="F169" s="246"/>
      <c r="G169" s="246"/>
      <c r="H169" s="246"/>
      <c r="I169" s="246"/>
      <c r="J169" s="246"/>
    </row>
    <row r="170" spans="2:10" x14ac:dyDescent="0.5">
      <c r="B170" s="149"/>
      <c r="E170" s="246"/>
      <c r="F170" s="246"/>
      <c r="G170" s="246"/>
      <c r="H170" s="246"/>
      <c r="I170" s="246"/>
      <c r="J170" s="246"/>
    </row>
    <row r="171" spans="2:10" x14ac:dyDescent="0.5">
      <c r="B171" s="149"/>
      <c r="E171" s="246"/>
      <c r="F171" s="246"/>
      <c r="G171" s="246"/>
      <c r="H171" s="246"/>
      <c r="I171" s="246"/>
      <c r="J171" s="246"/>
    </row>
    <row r="172" spans="2:10" x14ac:dyDescent="0.5">
      <c r="B172" s="149"/>
      <c r="E172" s="246"/>
      <c r="F172" s="246"/>
      <c r="G172" s="246"/>
      <c r="H172" s="246"/>
      <c r="I172" s="246"/>
      <c r="J172" s="246"/>
    </row>
    <row r="173" spans="2:10" x14ac:dyDescent="0.5">
      <c r="B173" s="149"/>
      <c r="E173" s="246"/>
      <c r="F173" s="246"/>
      <c r="G173" s="246"/>
      <c r="H173" s="246"/>
      <c r="I173" s="246"/>
      <c r="J173" s="246"/>
    </row>
    <row r="174" spans="2:10" x14ac:dyDescent="0.5">
      <c r="B174" s="149"/>
      <c r="E174" s="246"/>
      <c r="F174" s="246"/>
      <c r="G174" s="246"/>
      <c r="H174" s="246"/>
      <c r="I174" s="246"/>
      <c r="J174" s="246"/>
    </row>
    <row r="175" spans="2:10" x14ac:dyDescent="0.5">
      <c r="B175" s="149"/>
      <c r="E175" s="246"/>
      <c r="F175" s="246"/>
      <c r="G175" s="246"/>
      <c r="H175" s="246"/>
      <c r="I175" s="246"/>
      <c r="J175" s="246"/>
    </row>
    <row r="176" spans="2:10" x14ac:dyDescent="0.5">
      <c r="B176" s="149"/>
      <c r="E176" s="246"/>
      <c r="F176" s="246"/>
      <c r="G176" s="246"/>
      <c r="H176" s="246"/>
      <c r="I176" s="246"/>
      <c r="J176" s="246"/>
    </row>
    <row r="177" spans="2:10" x14ac:dyDescent="0.5">
      <c r="B177" s="149"/>
      <c r="E177" s="246"/>
      <c r="F177" s="246"/>
      <c r="G177" s="246"/>
      <c r="H177" s="246"/>
      <c r="I177" s="246"/>
      <c r="J177" s="246"/>
    </row>
    <row r="178" spans="2:10" x14ac:dyDescent="0.5">
      <c r="B178" s="149"/>
      <c r="E178" s="246"/>
      <c r="F178" s="246"/>
      <c r="G178" s="246"/>
      <c r="H178" s="246"/>
      <c r="I178" s="246"/>
      <c r="J178" s="246"/>
    </row>
    <row r="179" spans="2:10" x14ac:dyDescent="0.5">
      <c r="B179" s="149"/>
      <c r="E179" s="246"/>
      <c r="F179" s="246"/>
      <c r="G179" s="246"/>
      <c r="H179" s="246"/>
      <c r="I179" s="246"/>
      <c r="J179" s="246"/>
    </row>
    <row r="180" spans="2:10" x14ac:dyDescent="0.5">
      <c r="B180" s="149"/>
      <c r="E180" s="246"/>
      <c r="F180" s="246"/>
      <c r="G180" s="246"/>
      <c r="H180" s="246"/>
      <c r="I180" s="246"/>
      <c r="J180" s="246"/>
    </row>
    <row r="181" spans="2:10" x14ac:dyDescent="0.5">
      <c r="B181" s="149"/>
      <c r="E181" s="246"/>
      <c r="F181" s="246"/>
      <c r="G181" s="246"/>
      <c r="H181" s="246"/>
      <c r="I181" s="246"/>
      <c r="J181" s="246"/>
    </row>
    <row r="182" spans="2:10" x14ac:dyDescent="0.5">
      <c r="B182" s="149"/>
      <c r="E182" s="246"/>
      <c r="F182" s="246"/>
      <c r="G182" s="246"/>
      <c r="H182" s="246"/>
      <c r="I182" s="246"/>
      <c r="J182" s="246"/>
    </row>
    <row r="183" spans="2:10" x14ac:dyDescent="0.5">
      <c r="B183" s="149"/>
      <c r="E183" s="246"/>
      <c r="F183" s="246"/>
      <c r="G183" s="246"/>
      <c r="H183" s="246"/>
      <c r="I183" s="246"/>
      <c r="J183" s="246"/>
    </row>
    <row r="184" spans="2:10" x14ac:dyDescent="0.5">
      <c r="B184" s="149"/>
      <c r="E184" s="246"/>
      <c r="F184" s="246"/>
      <c r="G184" s="246"/>
      <c r="H184" s="246"/>
      <c r="I184" s="246"/>
      <c r="J184" s="246"/>
    </row>
    <row r="185" spans="2:10" x14ac:dyDescent="0.5">
      <c r="B185" s="149"/>
      <c r="E185" s="246"/>
      <c r="F185" s="246"/>
      <c r="G185" s="246"/>
      <c r="H185" s="246"/>
      <c r="I185" s="246"/>
      <c r="J185" s="246"/>
    </row>
    <row r="186" spans="2:10" x14ac:dyDescent="0.5">
      <c r="B186" s="149"/>
      <c r="E186" s="247"/>
      <c r="F186" s="247"/>
      <c r="G186" s="247"/>
      <c r="H186" s="247"/>
      <c r="I186" s="247"/>
      <c r="J186" s="247"/>
    </row>
    <row r="187" spans="2:10" x14ac:dyDescent="0.5">
      <c r="B187" s="149"/>
      <c r="E187" s="247"/>
      <c r="F187" s="247"/>
      <c r="G187" s="247"/>
      <c r="H187" s="247"/>
      <c r="I187" s="247"/>
      <c r="J187" s="247"/>
    </row>
    <row r="188" spans="2:10" x14ac:dyDescent="0.5">
      <c r="B188" s="149"/>
      <c r="E188" s="247"/>
      <c r="F188" s="247"/>
      <c r="G188" s="247"/>
      <c r="H188" s="247"/>
      <c r="I188" s="247"/>
      <c r="J188" s="247"/>
    </row>
    <row r="189" spans="2:10" x14ac:dyDescent="0.5">
      <c r="B189" s="149"/>
      <c r="E189" s="247"/>
      <c r="F189" s="247"/>
      <c r="G189" s="247"/>
      <c r="H189" s="247"/>
      <c r="I189" s="247"/>
      <c r="J189" s="247"/>
    </row>
    <row r="190" spans="2:10" x14ac:dyDescent="0.5">
      <c r="B190" s="149"/>
      <c r="E190" s="247"/>
      <c r="F190" s="247"/>
      <c r="G190" s="247"/>
      <c r="H190" s="247"/>
      <c r="I190" s="247"/>
      <c r="J190" s="247"/>
    </row>
    <row r="191" spans="2:10" x14ac:dyDescent="0.5">
      <c r="B191" s="149"/>
      <c r="E191" s="247"/>
      <c r="F191" s="247"/>
      <c r="G191" s="247"/>
      <c r="H191" s="247"/>
      <c r="I191" s="247"/>
      <c r="J191" s="247"/>
    </row>
    <row r="192" spans="2:10" x14ac:dyDescent="0.5">
      <c r="B192" s="149"/>
      <c r="E192" s="247"/>
      <c r="F192" s="247"/>
      <c r="G192" s="247"/>
      <c r="H192" s="247"/>
      <c r="I192" s="247"/>
      <c r="J192" s="247"/>
    </row>
    <row r="193" spans="2:10" x14ac:dyDescent="0.5">
      <c r="B193" s="149"/>
      <c r="E193" s="247"/>
      <c r="F193" s="247"/>
      <c r="G193" s="247"/>
      <c r="H193" s="247"/>
      <c r="I193" s="247"/>
      <c r="J193" s="247"/>
    </row>
    <row r="194" spans="2:10" x14ac:dyDescent="0.5">
      <c r="B194" s="149"/>
      <c r="E194" s="247"/>
      <c r="F194" s="247"/>
      <c r="G194" s="247"/>
      <c r="H194" s="247"/>
      <c r="I194" s="247"/>
      <c r="J194" s="247"/>
    </row>
    <row r="195" spans="2:10" x14ac:dyDescent="0.5">
      <c r="B195" s="149"/>
      <c r="E195" s="247"/>
      <c r="F195" s="247"/>
      <c r="G195" s="247"/>
      <c r="H195" s="247"/>
      <c r="I195" s="247"/>
      <c r="J195" s="247"/>
    </row>
    <row r="196" spans="2:10" x14ac:dyDescent="0.5">
      <c r="B196" s="149"/>
      <c r="E196" s="247"/>
      <c r="F196" s="247"/>
      <c r="G196" s="247"/>
      <c r="H196" s="247"/>
      <c r="I196" s="247"/>
      <c r="J196" s="247"/>
    </row>
    <row r="197" spans="2:10" x14ac:dyDescent="0.5">
      <c r="B197" s="149"/>
      <c r="E197" s="247"/>
      <c r="F197" s="247"/>
      <c r="G197" s="247"/>
      <c r="H197" s="247"/>
      <c r="I197" s="247"/>
      <c r="J197" s="247"/>
    </row>
    <row r="198" spans="2:10" x14ac:dyDescent="0.5">
      <c r="B198" s="149"/>
      <c r="E198" s="247"/>
      <c r="F198" s="247"/>
      <c r="G198" s="247"/>
      <c r="H198" s="247"/>
      <c r="I198" s="247"/>
      <c r="J198" s="247"/>
    </row>
    <row r="199" spans="2:10" x14ac:dyDescent="0.5">
      <c r="B199" s="149"/>
      <c r="E199" s="247"/>
      <c r="F199" s="247"/>
      <c r="G199" s="247"/>
      <c r="H199" s="247"/>
      <c r="I199" s="247"/>
      <c r="J199" s="247"/>
    </row>
    <row r="200" spans="2:10" x14ac:dyDescent="0.5">
      <c r="B200" s="149"/>
      <c r="E200" s="247"/>
      <c r="F200" s="247"/>
      <c r="G200" s="247"/>
      <c r="H200" s="247"/>
      <c r="I200" s="247"/>
      <c r="J200" s="247"/>
    </row>
    <row r="201" spans="2:10" x14ac:dyDescent="0.5">
      <c r="B201" s="149"/>
      <c r="E201" s="247"/>
      <c r="F201" s="247"/>
      <c r="G201" s="247"/>
      <c r="H201" s="247"/>
      <c r="I201" s="247"/>
      <c r="J201" s="247"/>
    </row>
    <row r="202" spans="2:10" x14ac:dyDescent="0.5">
      <c r="B202" s="149"/>
      <c r="E202" s="247"/>
      <c r="F202" s="247"/>
      <c r="G202" s="247"/>
      <c r="H202" s="247"/>
      <c r="I202" s="247"/>
      <c r="J202" s="247"/>
    </row>
    <row r="203" spans="2:10" x14ac:dyDescent="0.5">
      <c r="B203" s="149"/>
      <c r="E203" s="247"/>
      <c r="F203" s="247"/>
      <c r="G203" s="247"/>
      <c r="H203" s="247"/>
      <c r="I203" s="247"/>
      <c r="J203" s="247"/>
    </row>
    <row r="204" spans="2:10" x14ac:dyDescent="0.5">
      <c r="B204" s="149"/>
      <c r="E204" s="247"/>
      <c r="F204" s="247"/>
      <c r="G204" s="247"/>
      <c r="H204" s="247"/>
      <c r="I204" s="247"/>
      <c r="J204" s="247"/>
    </row>
    <row r="205" spans="2:10" x14ac:dyDescent="0.5">
      <c r="B205" s="149"/>
      <c r="E205" s="247"/>
      <c r="F205" s="247"/>
      <c r="G205" s="247"/>
      <c r="H205" s="247"/>
      <c r="I205" s="247"/>
      <c r="J205" s="247"/>
    </row>
    <row r="206" spans="2:10" x14ac:dyDescent="0.5">
      <c r="B206" s="149"/>
      <c r="E206" s="247"/>
      <c r="F206" s="247"/>
      <c r="G206" s="247"/>
      <c r="H206" s="247"/>
      <c r="I206" s="247"/>
      <c r="J206" s="247"/>
    </row>
    <row r="207" spans="2:10" x14ac:dyDescent="0.5">
      <c r="B207" s="149"/>
      <c r="E207" s="247"/>
      <c r="F207" s="247"/>
      <c r="G207" s="247"/>
      <c r="H207" s="247"/>
      <c r="I207" s="247"/>
      <c r="J207" s="247"/>
    </row>
    <row r="208" spans="2:10" x14ac:dyDescent="0.5">
      <c r="B208" s="149"/>
      <c r="E208" s="247"/>
      <c r="F208" s="247"/>
      <c r="G208" s="247"/>
      <c r="H208" s="247"/>
      <c r="I208" s="247"/>
      <c r="J208" s="247"/>
    </row>
    <row r="209" spans="2:10" x14ac:dyDescent="0.5">
      <c r="B209" s="149"/>
      <c r="E209" s="247"/>
      <c r="F209" s="247"/>
      <c r="G209" s="247"/>
      <c r="H209" s="247"/>
      <c r="I209" s="247"/>
      <c r="J209" s="247"/>
    </row>
    <row r="210" spans="2:10" x14ac:dyDescent="0.5">
      <c r="B210" s="149"/>
      <c r="E210" s="247"/>
      <c r="F210" s="247"/>
      <c r="G210" s="247"/>
      <c r="H210" s="247"/>
      <c r="I210" s="247"/>
      <c r="J210" s="247"/>
    </row>
    <row r="211" spans="2:10" x14ac:dyDescent="0.5">
      <c r="B211" s="149"/>
      <c r="E211" s="247"/>
      <c r="F211" s="247"/>
      <c r="G211" s="247"/>
      <c r="H211" s="247"/>
      <c r="I211" s="247"/>
      <c r="J211" s="247"/>
    </row>
    <row r="212" spans="2:10" x14ac:dyDescent="0.5">
      <c r="B212" s="149"/>
      <c r="E212" s="247"/>
      <c r="F212" s="247"/>
      <c r="G212" s="247"/>
      <c r="H212" s="247"/>
      <c r="I212" s="247"/>
      <c r="J212" s="247"/>
    </row>
    <row r="213" spans="2:10" x14ac:dyDescent="0.5">
      <c r="B213" s="149"/>
      <c r="E213" s="247"/>
      <c r="F213" s="247"/>
      <c r="G213" s="247"/>
      <c r="H213" s="247"/>
      <c r="I213" s="247"/>
      <c r="J213" s="247"/>
    </row>
    <row r="214" spans="2:10" x14ac:dyDescent="0.5">
      <c r="B214" s="149"/>
      <c r="E214" s="247"/>
      <c r="F214" s="247"/>
      <c r="G214" s="247"/>
      <c r="H214" s="247"/>
      <c r="I214" s="247"/>
      <c r="J214" s="247"/>
    </row>
    <row r="215" spans="2:10" x14ac:dyDescent="0.5">
      <c r="B215" s="149"/>
      <c r="E215" s="247"/>
      <c r="F215" s="247"/>
      <c r="G215" s="247"/>
      <c r="H215" s="247"/>
      <c r="I215" s="247"/>
      <c r="J215" s="247"/>
    </row>
    <row r="216" spans="2:10" x14ac:dyDescent="0.5">
      <c r="B216" s="149"/>
      <c r="E216" s="247"/>
      <c r="F216" s="247"/>
      <c r="G216" s="247"/>
      <c r="H216" s="247"/>
      <c r="I216" s="247"/>
      <c r="J216" s="247"/>
    </row>
    <row r="217" spans="2:10" x14ac:dyDescent="0.5">
      <c r="B217" s="149"/>
      <c r="E217" s="247"/>
      <c r="F217" s="247"/>
      <c r="G217" s="247"/>
      <c r="H217" s="247"/>
      <c r="I217" s="247"/>
      <c r="J217" s="247"/>
    </row>
    <row r="218" spans="2:10" x14ac:dyDescent="0.5">
      <c r="B218" s="149"/>
      <c r="E218" s="247"/>
      <c r="F218" s="247"/>
      <c r="G218" s="247"/>
      <c r="H218" s="247"/>
      <c r="I218" s="247"/>
      <c r="J218" s="247"/>
    </row>
    <row r="219" spans="2:10" x14ac:dyDescent="0.5">
      <c r="B219" s="149"/>
      <c r="E219" s="247"/>
      <c r="F219" s="247"/>
      <c r="G219" s="247"/>
      <c r="H219" s="247"/>
      <c r="I219" s="247"/>
      <c r="J219" s="247"/>
    </row>
    <row r="220" spans="2:10" x14ac:dyDescent="0.5">
      <c r="B220" s="149"/>
      <c r="E220" s="247"/>
      <c r="F220" s="247"/>
      <c r="G220" s="247"/>
      <c r="H220" s="247"/>
      <c r="I220" s="247"/>
      <c r="J220" s="247"/>
    </row>
    <row r="221" spans="2:10" x14ac:dyDescent="0.5">
      <c r="B221" s="149"/>
      <c r="E221" s="247"/>
      <c r="F221" s="247"/>
      <c r="G221" s="247"/>
      <c r="H221" s="247"/>
      <c r="I221" s="247"/>
      <c r="J221" s="247"/>
    </row>
    <row r="222" spans="2:10" x14ac:dyDescent="0.5">
      <c r="B222" s="149"/>
      <c r="E222" s="247"/>
      <c r="F222" s="247"/>
      <c r="G222" s="247"/>
      <c r="H222" s="247"/>
      <c r="I222" s="247"/>
      <c r="J222" s="247"/>
    </row>
    <row r="223" spans="2:10" x14ac:dyDescent="0.5">
      <c r="B223" s="149"/>
      <c r="E223" s="247"/>
      <c r="F223" s="247"/>
      <c r="G223" s="247"/>
      <c r="H223" s="247"/>
      <c r="I223" s="247"/>
      <c r="J223" s="247"/>
    </row>
    <row r="224" spans="2:10" x14ac:dyDescent="0.5">
      <c r="B224" s="149"/>
      <c r="E224" s="247"/>
      <c r="F224" s="247"/>
      <c r="G224" s="247"/>
      <c r="H224" s="247"/>
      <c r="I224" s="247"/>
      <c r="J224" s="247"/>
    </row>
    <row r="225" spans="2:10" x14ac:dyDescent="0.5">
      <c r="B225" s="149"/>
      <c r="E225" s="247"/>
      <c r="F225" s="247"/>
      <c r="G225" s="247"/>
      <c r="H225" s="247"/>
      <c r="I225" s="247"/>
      <c r="J225" s="247"/>
    </row>
    <row r="226" spans="2:10" x14ac:dyDescent="0.5">
      <c r="B226" s="149"/>
      <c r="E226" s="247"/>
      <c r="F226" s="247"/>
      <c r="G226" s="247"/>
      <c r="H226" s="247"/>
      <c r="I226" s="247"/>
      <c r="J226" s="247"/>
    </row>
    <row r="227" spans="2:10" x14ac:dyDescent="0.5">
      <c r="B227" s="149"/>
      <c r="E227" s="247"/>
      <c r="F227" s="247"/>
      <c r="G227" s="247"/>
      <c r="H227" s="247"/>
      <c r="I227" s="247"/>
      <c r="J227" s="247"/>
    </row>
    <row r="228" spans="2:10" x14ac:dyDescent="0.5">
      <c r="B228" s="149"/>
      <c r="E228" s="247"/>
      <c r="F228" s="247"/>
      <c r="G228" s="247"/>
      <c r="H228" s="247"/>
      <c r="I228" s="247"/>
      <c r="J228" s="247"/>
    </row>
    <row r="229" spans="2:10" x14ac:dyDescent="0.5">
      <c r="B229" s="149"/>
      <c r="E229" s="247"/>
      <c r="F229" s="247"/>
      <c r="G229" s="247"/>
      <c r="H229" s="247"/>
      <c r="I229" s="247"/>
      <c r="J229" s="247"/>
    </row>
    <row r="230" spans="2:10" x14ac:dyDescent="0.5">
      <c r="B230" s="149"/>
      <c r="E230" s="247"/>
      <c r="F230" s="247"/>
      <c r="G230" s="247"/>
      <c r="H230" s="247"/>
      <c r="I230" s="247"/>
      <c r="J230" s="247"/>
    </row>
    <row r="231" spans="2:10" x14ac:dyDescent="0.5">
      <c r="B231" s="149"/>
      <c r="E231" s="247"/>
      <c r="F231" s="247"/>
      <c r="G231" s="247"/>
      <c r="H231" s="247"/>
      <c r="I231" s="247"/>
      <c r="J231" s="247"/>
    </row>
    <row r="232" spans="2:10" x14ac:dyDescent="0.5">
      <c r="B232" s="149"/>
      <c r="E232" s="247"/>
      <c r="F232" s="247"/>
      <c r="G232" s="247"/>
      <c r="H232" s="247"/>
      <c r="I232" s="247"/>
      <c r="J232" s="247"/>
    </row>
    <row r="233" spans="2:10" x14ac:dyDescent="0.5">
      <c r="B233" s="149"/>
      <c r="E233" s="247"/>
      <c r="F233" s="247"/>
      <c r="G233" s="247"/>
      <c r="H233" s="247"/>
      <c r="I233" s="247"/>
      <c r="J233" s="247"/>
    </row>
    <row r="234" spans="2:10" x14ac:dyDescent="0.5">
      <c r="B234" s="149"/>
      <c r="E234" s="247"/>
      <c r="F234" s="247"/>
      <c r="G234" s="247"/>
      <c r="H234" s="247"/>
      <c r="I234" s="247"/>
      <c r="J234" s="247"/>
    </row>
    <row r="235" spans="2:10" x14ac:dyDescent="0.5">
      <c r="B235" s="149"/>
      <c r="E235" s="247"/>
      <c r="F235" s="247"/>
      <c r="G235" s="247"/>
      <c r="H235" s="247"/>
      <c r="I235" s="247"/>
      <c r="J235" s="247"/>
    </row>
    <row r="236" spans="2:10" x14ac:dyDescent="0.5">
      <c r="B236" s="149"/>
      <c r="E236" s="247"/>
      <c r="F236" s="247"/>
      <c r="G236" s="247"/>
      <c r="H236" s="247"/>
      <c r="I236" s="247"/>
      <c r="J236" s="247"/>
    </row>
    <row r="237" spans="2:10" x14ac:dyDescent="0.5">
      <c r="B237" s="149"/>
      <c r="E237" s="247"/>
      <c r="F237" s="247"/>
      <c r="G237" s="247"/>
      <c r="H237" s="247"/>
      <c r="I237" s="247"/>
      <c r="J237" s="247"/>
    </row>
    <row r="238" spans="2:10" x14ac:dyDescent="0.5">
      <c r="B238" s="149"/>
      <c r="E238" s="247"/>
      <c r="F238" s="247"/>
      <c r="G238" s="247"/>
      <c r="H238" s="247"/>
      <c r="I238" s="247"/>
      <c r="J238" s="247"/>
    </row>
    <row r="239" spans="2:10" x14ac:dyDescent="0.5">
      <c r="B239" s="149"/>
      <c r="E239" s="247"/>
      <c r="F239" s="247"/>
      <c r="G239" s="247"/>
      <c r="H239" s="247"/>
      <c r="I239" s="247"/>
      <c r="J239" s="247"/>
    </row>
    <row r="240" spans="2:10" x14ac:dyDescent="0.5">
      <c r="B240" s="149"/>
      <c r="E240" s="247"/>
      <c r="F240" s="247"/>
      <c r="G240" s="247"/>
      <c r="H240" s="247"/>
      <c r="I240" s="247"/>
      <c r="J240" s="247"/>
    </row>
    <row r="241" spans="2:10" x14ac:dyDescent="0.5">
      <c r="B241" s="149"/>
      <c r="E241" s="247"/>
      <c r="F241" s="247"/>
      <c r="G241" s="247"/>
      <c r="H241" s="247"/>
      <c r="I241" s="247"/>
      <c r="J241" s="247"/>
    </row>
    <row r="242" spans="2:10" x14ac:dyDescent="0.5">
      <c r="B242" s="149"/>
      <c r="E242" s="247"/>
      <c r="F242" s="247"/>
      <c r="G242" s="247"/>
      <c r="H242" s="247"/>
      <c r="I242" s="247"/>
      <c r="J242" s="247"/>
    </row>
    <row r="243" spans="2:10" x14ac:dyDescent="0.5">
      <c r="B243" s="149"/>
      <c r="E243" s="247"/>
      <c r="F243" s="247"/>
      <c r="G243" s="247"/>
      <c r="H243" s="247"/>
      <c r="I243" s="247"/>
      <c r="J243" s="247"/>
    </row>
    <row r="244" spans="2:10" x14ac:dyDescent="0.5">
      <c r="B244" s="149"/>
      <c r="E244" s="247"/>
      <c r="F244" s="247"/>
      <c r="G244" s="247"/>
      <c r="H244" s="247"/>
      <c r="I244" s="247"/>
      <c r="J244" s="247"/>
    </row>
    <row r="245" spans="2:10" x14ac:dyDescent="0.5">
      <c r="B245" s="149"/>
      <c r="E245" s="247"/>
      <c r="F245" s="247"/>
      <c r="G245" s="247"/>
      <c r="H245" s="247"/>
      <c r="I245" s="247"/>
      <c r="J245" s="247"/>
    </row>
    <row r="246" spans="2:10" x14ac:dyDescent="0.5">
      <c r="B246" s="149"/>
      <c r="E246" s="247"/>
      <c r="F246" s="247"/>
      <c r="G246" s="247"/>
      <c r="H246" s="247"/>
      <c r="I246" s="247"/>
      <c r="J246" s="247"/>
    </row>
    <row r="247" spans="2:10" x14ac:dyDescent="0.5">
      <c r="B247" s="149"/>
      <c r="E247" s="247"/>
      <c r="F247" s="247"/>
      <c r="G247" s="247"/>
      <c r="H247" s="247"/>
      <c r="I247" s="247"/>
      <c r="J247" s="247"/>
    </row>
    <row r="248" spans="2:10" x14ac:dyDescent="0.5">
      <c r="B248" s="149"/>
      <c r="E248" s="247"/>
      <c r="F248" s="247"/>
      <c r="G248" s="247"/>
      <c r="H248" s="247"/>
      <c r="I248" s="247"/>
      <c r="J248" s="247"/>
    </row>
    <row r="249" spans="2:10" x14ac:dyDescent="0.5">
      <c r="B249" s="149"/>
      <c r="E249" s="247"/>
      <c r="F249" s="247"/>
      <c r="G249" s="247"/>
      <c r="H249" s="247"/>
      <c r="I249" s="247"/>
      <c r="J249" s="247"/>
    </row>
    <row r="250" spans="2:10" x14ac:dyDescent="0.5">
      <c r="B250" s="149"/>
      <c r="E250" s="247"/>
      <c r="F250" s="247"/>
      <c r="G250" s="247"/>
      <c r="H250" s="247"/>
      <c r="I250" s="247"/>
      <c r="J250" s="247"/>
    </row>
    <row r="251" spans="2:10" x14ac:dyDescent="0.5">
      <c r="B251" s="149"/>
      <c r="E251" s="247"/>
      <c r="F251" s="247"/>
      <c r="G251" s="247"/>
      <c r="H251" s="247"/>
      <c r="I251" s="247"/>
      <c r="J251" s="247"/>
    </row>
    <row r="252" spans="2:10" x14ac:dyDescent="0.5">
      <c r="B252" s="149"/>
      <c r="E252" s="247"/>
      <c r="F252" s="247"/>
      <c r="G252" s="247"/>
      <c r="H252" s="247"/>
      <c r="I252" s="247"/>
      <c r="J252" s="247"/>
    </row>
    <row r="253" spans="2:10" x14ac:dyDescent="0.5">
      <c r="B253" s="149"/>
      <c r="E253" s="247"/>
      <c r="F253" s="247"/>
      <c r="G253" s="247"/>
      <c r="H253" s="247"/>
      <c r="I253" s="247"/>
      <c r="J253" s="247"/>
    </row>
    <row r="254" spans="2:10" x14ac:dyDescent="0.5">
      <c r="B254" s="149"/>
      <c r="E254" s="247"/>
      <c r="F254" s="247"/>
      <c r="G254" s="247"/>
      <c r="H254" s="247"/>
      <c r="I254" s="247"/>
      <c r="J254" s="247"/>
    </row>
    <row r="255" spans="2:10" x14ac:dyDescent="0.5">
      <c r="B255" s="149"/>
      <c r="E255" s="247"/>
      <c r="F255" s="247"/>
      <c r="G255" s="247"/>
      <c r="H255" s="247"/>
      <c r="I255" s="247"/>
      <c r="J255" s="247"/>
    </row>
    <row r="256" spans="2:10" x14ac:dyDescent="0.5">
      <c r="B256" s="149"/>
      <c r="E256" s="247"/>
      <c r="F256" s="247"/>
      <c r="G256" s="247"/>
      <c r="H256" s="247"/>
      <c r="I256" s="247"/>
      <c r="J256" s="247"/>
    </row>
    <row r="257" spans="2:10" x14ac:dyDescent="0.5">
      <c r="B257" s="149"/>
      <c r="E257" s="247"/>
      <c r="F257" s="247"/>
      <c r="G257" s="247"/>
      <c r="H257" s="247"/>
      <c r="I257" s="247"/>
      <c r="J257" s="247"/>
    </row>
    <row r="258" spans="2:10" x14ac:dyDescent="0.5">
      <c r="B258" s="149"/>
      <c r="E258" s="247"/>
      <c r="F258" s="247"/>
      <c r="G258" s="247"/>
      <c r="H258" s="247"/>
      <c r="I258" s="247"/>
      <c r="J258" s="247"/>
    </row>
    <row r="259" spans="2:10" x14ac:dyDescent="0.5">
      <c r="B259" s="149"/>
      <c r="E259" s="247"/>
      <c r="F259" s="247"/>
      <c r="G259" s="247"/>
      <c r="H259" s="247"/>
      <c r="I259" s="247"/>
      <c r="J259" s="247"/>
    </row>
    <row r="260" spans="2:10" x14ac:dyDescent="0.5">
      <c r="B260" s="149"/>
      <c r="E260" s="247"/>
      <c r="F260" s="247"/>
      <c r="G260" s="247"/>
      <c r="H260" s="247"/>
      <c r="I260" s="247"/>
      <c r="J260" s="247"/>
    </row>
    <row r="261" spans="2:10" x14ac:dyDescent="0.5">
      <c r="B261" s="149"/>
      <c r="E261" s="247"/>
      <c r="F261" s="247"/>
      <c r="G261" s="247"/>
      <c r="H261" s="247"/>
      <c r="I261" s="247"/>
      <c r="J261" s="247"/>
    </row>
    <row r="262" spans="2:10" x14ac:dyDescent="0.5">
      <c r="B262" s="149"/>
      <c r="E262" s="247"/>
      <c r="F262" s="247"/>
      <c r="G262" s="247"/>
      <c r="H262" s="247"/>
      <c r="I262" s="247"/>
      <c r="J262" s="247"/>
    </row>
    <row r="263" spans="2:10" x14ac:dyDescent="0.5">
      <c r="B263" s="149"/>
      <c r="E263" s="247"/>
      <c r="F263" s="247"/>
      <c r="G263" s="247"/>
      <c r="H263" s="247"/>
      <c r="I263" s="247"/>
      <c r="J263" s="247"/>
    </row>
    <row r="264" spans="2:10" x14ac:dyDescent="0.5">
      <c r="B264" s="149"/>
      <c r="E264" s="247"/>
      <c r="F264" s="247"/>
      <c r="G264" s="247"/>
      <c r="H264" s="247"/>
      <c r="I264" s="247"/>
      <c r="J264" s="247"/>
    </row>
    <row r="265" spans="2:10" x14ac:dyDescent="0.5">
      <c r="B265" s="149"/>
      <c r="E265" s="247"/>
      <c r="F265" s="247"/>
      <c r="G265" s="247"/>
      <c r="H265" s="247"/>
      <c r="I265" s="247"/>
      <c r="J265" s="247"/>
    </row>
    <row r="266" spans="2:10" x14ac:dyDescent="0.5">
      <c r="B266" s="149"/>
      <c r="E266" s="247"/>
      <c r="F266" s="247"/>
      <c r="G266" s="247"/>
      <c r="H266" s="247"/>
      <c r="I266" s="247"/>
      <c r="J266" s="247"/>
    </row>
    <row r="267" spans="2:10" x14ac:dyDescent="0.5">
      <c r="B267" s="149"/>
      <c r="E267" s="247"/>
      <c r="F267" s="247"/>
      <c r="G267" s="247"/>
      <c r="H267" s="247"/>
      <c r="I267" s="247"/>
      <c r="J267" s="247"/>
    </row>
    <row r="268" spans="2:10" x14ac:dyDescent="0.5">
      <c r="B268" s="149"/>
      <c r="E268" s="247"/>
      <c r="F268" s="247"/>
      <c r="G268" s="247"/>
      <c r="H268" s="247"/>
      <c r="I268" s="247"/>
      <c r="J268" s="247"/>
    </row>
    <row r="269" spans="2:10" x14ac:dyDescent="0.5">
      <c r="B269" s="149"/>
      <c r="E269" s="247"/>
      <c r="F269" s="247"/>
      <c r="G269" s="247"/>
      <c r="H269" s="247"/>
      <c r="I269" s="247"/>
      <c r="J269" s="247"/>
    </row>
    <row r="270" spans="2:10" x14ac:dyDescent="0.5">
      <c r="B270" s="149"/>
      <c r="E270" s="247"/>
      <c r="F270" s="247"/>
      <c r="G270" s="247"/>
      <c r="H270" s="247"/>
      <c r="I270" s="247"/>
      <c r="J270" s="247"/>
    </row>
    <row r="271" spans="2:10" x14ac:dyDescent="0.5">
      <c r="B271" s="149"/>
      <c r="E271" s="247"/>
      <c r="F271" s="247"/>
      <c r="G271" s="247"/>
      <c r="H271" s="247"/>
      <c r="I271" s="247"/>
      <c r="J271" s="247"/>
    </row>
    <row r="272" spans="2:10" x14ac:dyDescent="0.5">
      <c r="B272" s="149"/>
      <c r="E272" s="247"/>
      <c r="F272" s="247"/>
      <c r="G272" s="247"/>
      <c r="H272" s="247"/>
      <c r="I272" s="247"/>
      <c r="J272" s="247"/>
    </row>
    <row r="273" spans="2:10" x14ac:dyDescent="0.5">
      <c r="B273" s="149"/>
      <c r="E273" s="247"/>
      <c r="F273" s="247"/>
      <c r="G273" s="247"/>
      <c r="H273" s="247"/>
      <c r="I273" s="247"/>
      <c r="J273" s="247"/>
    </row>
    <row r="274" spans="2:10" x14ac:dyDescent="0.5">
      <c r="B274" s="149"/>
      <c r="E274" s="247"/>
      <c r="F274" s="247"/>
      <c r="G274" s="247"/>
      <c r="H274" s="247"/>
      <c r="I274" s="247"/>
      <c r="J274" s="247"/>
    </row>
    <row r="275" spans="2:10" x14ac:dyDescent="0.5">
      <c r="B275" s="149"/>
      <c r="E275" s="247"/>
      <c r="F275" s="247"/>
      <c r="G275" s="247"/>
      <c r="H275" s="247"/>
      <c r="I275" s="247"/>
      <c r="J275" s="247"/>
    </row>
    <row r="276" spans="2:10" x14ac:dyDescent="0.5">
      <c r="B276" s="149"/>
      <c r="E276" s="247"/>
      <c r="F276" s="247"/>
      <c r="G276" s="247"/>
      <c r="H276" s="247"/>
      <c r="I276" s="247"/>
      <c r="J276" s="247"/>
    </row>
    <row r="277" spans="2:10" x14ac:dyDescent="0.5">
      <c r="B277" s="149"/>
      <c r="E277" s="247"/>
      <c r="F277" s="247"/>
      <c r="G277" s="247"/>
      <c r="H277" s="247"/>
      <c r="I277" s="247"/>
      <c r="J277" s="247"/>
    </row>
    <row r="278" spans="2:10" x14ac:dyDescent="0.5">
      <c r="B278" s="149"/>
      <c r="E278" s="247"/>
      <c r="F278" s="247"/>
      <c r="G278" s="247"/>
      <c r="H278" s="247"/>
      <c r="I278" s="247"/>
      <c r="J278" s="247"/>
    </row>
    <row r="279" spans="2:10" x14ac:dyDescent="0.5">
      <c r="B279" s="149"/>
      <c r="E279" s="247"/>
      <c r="F279" s="247"/>
      <c r="G279" s="247"/>
      <c r="H279" s="247"/>
      <c r="I279" s="247"/>
      <c r="J279" s="247"/>
    </row>
    <row r="280" spans="2:10" x14ac:dyDescent="0.5">
      <c r="B280" s="149"/>
      <c r="E280" s="247"/>
      <c r="F280" s="247"/>
      <c r="G280" s="247"/>
      <c r="H280" s="247"/>
      <c r="I280" s="247"/>
      <c r="J280" s="247"/>
    </row>
    <row r="281" spans="2:10" x14ac:dyDescent="0.5">
      <c r="B281" s="149"/>
      <c r="E281" s="247"/>
      <c r="F281" s="247"/>
      <c r="G281" s="247"/>
      <c r="H281" s="247"/>
      <c r="I281" s="247"/>
      <c r="J281" s="247"/>
    </row>
    <row r="282" spans="2:10" x14ac:dyDescent="0.5">
      <c r="B282" s="149"/>
      <c r="E282" s="247"/>
      <c r="F282" s="247"/>
      <c r="G282" s="247"/>
      <c r="H282" s="247"/>
      <c r="I282" s="247"/>
      <c r="J282" s="247"/>
    </row>
    <row r="283" spans="2:10" x14ac:dyDescent="0.5">
      <c r="B283" s="149"/>
      <c r="E283" s="247"/>
      <c r="F283" s="247"/>
      <c r="G283" s="247"/>
      <c r="H283" s="247"/>
      <c r="I283" s="247"/>
      <c r="J283" s="247"/>
    </row>
    <row r="284" spans="2:10" x14ac:dyDescent="0.5">
      <c r="B284" s="149"/>
      <c r="E284" s="247"/>
      <c r="F284" s="247"/>
      <c r="G284" s="247"/>
      <c r="H284" s="247"/>
      <c r="I284" s="247"/>
      <c r="J284" s="247"/>
    </row>
    <row r="285" spans="2:10" x14ac:dyDescent="0.5">
      <c r="B285" s="149"/>
      <c r="E285" s="247"/>
      <c r="F285" s="247"/>
      <c r="G285" s="247"/>
      <c r="H285" s="247"/>
      <c r="I285" s="247"/>
      <c r="J285" s="247"/>
    </row>
    <row r="286" spans="2:10" x14ac:dyDescent="0.5">
      <c r="B286" s="149"/>
      <c r="E286" s="247"/>
      <c r="F286" s="247"/>
      <c r="G286" s="247"/>
      <c r="H286" s="247"/>
      <c r="I286" s="247"/>
      <c r="J286" s="247"/>
    </row>
    <row r="287" spans="2:10" x14ac:dyDescent="0.5">
      <c r="B287" s="149"/>
      <c r="E287" s="247"/>
      <c r="F287" s="247"/>
      <c r="G287" s="247"/>
      <c r="H287" s="247"/>
      <c r="I287" s="247"/>
      <c r="J287" s="247"/>
    </row>
    <row r="288" spans="2:10" x14ac:dyDescent="0.5">
      <c r="B288" s="149"/>
      <c r="E288" s="247"/>
      <c r="F288" s="247"/>
      <c r="G288" s="247"/>
      <c r="H288" s="247"/>
      <c r="I288" s="247"/>
      <c r="J288" s="247"/>
    </row>
    <row r="289" spans="2:10" x14ac:dyDescent="0.5">
      <c r="B289" s="149"/>
      <c r="E289" s="247"/>
      <c r="F289" s="247"/>
      <c r="G289" s="247"/>
      <c r="H289" s="247"/>
      <c r="I289" s="247"/>
      <c r="J289" s="247"/>
    </row>
    <row r="290" spans="2:10" x14ac:dyDescent="0.5">
      <c r="B290" s="149"/>
      <c r="E290" s="247"/>
      <c r="F290" s="247"/>
      <c r="G290" s="247"/>
      <c r="H290" s="247"/>
      <c r="I290" s="247"/>
      <c r="J290" s="247"/>
    </row>
    <row r="291" spans="2:10" x14ac:dyDescent="0.5">
      <c r="B291" s="149"/>
      <c r="E291" s="247"/>
      <c r="F291" s="247"/>
      <c r="G291" s="247"/>
      <c r="H291" s="247"/>
      <c r="I291" s="247"/>
      <c r="J291" s="247"/>
    </row>
    <row r="292" spans="2:10" x14ac:dyDescent="0.5">
      <c r="B292" s="149"/>
      <c r="E292" s="247"/>
      <c r="F292" s="247"/>
      <c r="G292" s="247"/>
      <c r="H292" s="247"/>
      <c r="I292" s="247"/>
      <c r="J292" s="247"/>
    </row>
    <row r="293" spans="2:10" x14ac:dyDescent="0.5">
      <c r="B293" s="149"/>
      <c r="E293" s="247"/>
      <c r="F293" s="247"/>
      <c r="G293" s="247"/>
      <c r="H293" s="247"/>
      <c r="I293" s="247"/>
      <c r="J293" s="247"/>
    </row>
    <row r="294" spans="2:10" x14ac:dyDescent="0.5">
      <c r="B294" s="149"/>
      <c r="E294" s="247"/>
      <c r="F294" s="247"/>
      <c r="G294" s="247"/>
      <c r="H294" s="247"/>
      <c r="I294" s="247"/>
      <c r="J294" s="247"/>
    </row>
    <row r="295" spans="2:10" x14ac:dyDescent="0.5">
      <c r="B295" s="149"/>
      <c r="E295" s="247"/>
      <c r="F295" s="247"/>
      <c r="G295" s="247"/>
      <c r="H295" s="247"/>
      <c r="I295" s="247"/>
      <c r="J295" s="247"/>
    </row>
    <row r="296" spans="2:10" x14ac:dyDescent="0.5">
      <c r="B296" s="149"/>
      <c r="E296" s="247"/>
      <c r="F296" s="247"/>
      <c r="G296" s="247"/>
      <c r="H296" s="247"/>
      <c r="I296" s="247"/>
      <c r="J296" s="247"/>
    </row>
    <row r="297" spans="2:10" x14ac:dyDescent="0.5">
      <c r="B297" s="149"/>
      <c r="E297" s="247"/>
      <c r="F297" s="247"/>
      <c r="G297" s="247"/>
      <c r="H297" s="247"/>
      <c r="I297" s="247"/>
      <c r="J297" s="247"/>
    </row>
    <row r="298" spans="2:10" x14ac:dyDescent="0.5">
      <c r="B298" s="149"/>
      <c r="E298" s="247"/>
      <c r="F298" s="247"/>
      <c r="G298" s="247"/>
      <c r="H298" s="247"/>
      <c r="I298" s="247"/>
      <c r="J298" s="247"/>
    </row>
    <row r="299" spans="2:10" x14ac:dyDescent="0.5">
      <c r="B299" s="149"/>
      <c r="E299" s="247"/>
      <c r="F299" s="247"/>
      <c r="G299" s="247"/>
      <c r="H299" s="247"/>
      <c r="I299" s="247"/>
      <c r="J299" s="247"/>
    </row>
    <row r="300" spans="2:10" x14ac:dyDescent="0.5">
      <c r="B300" s="149"/>
      <c r="E300" s="247"/>
      <c r="F300" s="247"/>
      <c r="G300" s="247"/>
      <c r="H300" s="247"/>
      <c r="I300" s="247"/>
      <c r="J300" s="247"/>
    </row>
    <row r="301" spans="2:10" x14ac:dyDescent="0.5">
      <c r="B301" s="149"/>
      <c r="E301" s="247"/>
      <c r="F301" s="247"/>
      <c r="G301" s="247"/>
      <c r="H301" s="247"/>
      <c r="I301" s="247"/>
      <c r="J301" s="247"/>
    </row>
    <row r="302" spans="2:10" x14ac:dyDescent="0.5">
      <c r="B302" s="149"/>
      <c r="E302" s="247"/>
      <c r="F302" s="247"/>
      <c r="G302" s="247"/>
      <c r="H302" s="247"/>
      <c r="I302" s="247"/>
      <c r="J302" s="247"/>
    </row>
    <row r="303" spans="2:10" x14ac:dyDescent="0.5">
      <c r="B303" s="149"/>
      <c r="E303" s="247"/>
      <c r="F303" s="247"/>
      <c r="G303" s="247"/>
      <c r="H303" s="247"/>
      <c r="I303" s="247"/>
      <c r="J303" s="247"/>
    </row>
    <row r="304" spans="2:10" x14ac:dyDescent="0.5">
      <c r="B304" s="149"/>
      <c r="E304" s="247"/>
      <c r="F304" s="247"/>
      <c r="G304" s="247"/>
      <c r="H304" s="247"/>
      <c r="I304" s="247"/>
      <c r="J304" s="247"/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2021 Salaries</vt:lpstr>
      <vt:lpstr>2021 Budget</vt:lpstr>
      <vt:lpstr>2021 Budget (3)</vt:lpstr>
      <vt:lpstr>2021 Budget (2)</vt:lpstr>
      <vt:lpstr>2020 Budget MH</vt:lpstr>
      <vt:lpstr>Calculation </vt:lpstr>
      <vt:lpstr>PMTF</vt:lpstr>
      <vt:lpstr>2020 Salaries </vt:lpstr>
      <vt:lpstr>2020 Budget</vt:lpstr>
      <vt:lpstr>'2020 Budget MH'!Print_Area</vt:lpstr>
      <vt:lpstr>'2021 Budget'!Print_Area</vt:lpstr>
      <vt:lpstr>'2021 Budget (2)'!Print_Area</vt:lpstr>
      <vt:lpstr>'2021 Budget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Henderson</dc:creator>
  <cp:lastModifiedBy>Melissa Henderson</cp:lastModifiedBy>
  <cp:lastPrinted>2020-12-02T16:29:28Z</cp:lastPrinted>
  <dcterms:created xsi:type="dcterms:W3CDTF">2020-08-31T17:26:32Z</dcterms:created>
  <dcterms:modified xsi:type="dcterms:W3CDTF">2020-12-04T14:30:20Z</dcterms:modified>
</cp:coreProperties>
</file>